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00" yWindow="-15" windowWidth="22215" windowHeight="13650"/>
  </bookViews>
  <sheets>
    <sheet name="Gmina Miasto Kołobrzeg_część 1" sheetId="2" r:id="rId1"/>
    <sheet name="Gmina Miasto Kołobrzeg część 2 " sheetId="1" r:id="rId2"/>
    <sheet name="GMKg MOPS część 3" sheetId="11" r:id="rId3"/>
    <sheet name="Gmina Miasto Kołobrzeg część 4" sheetId="3" r:id="rId4"/>
    <sheet name="GMKg MOSiR część 5" sheetId="4" r:id="rId5"/>
    <sheet name="Komunikacja Miejska część 6" sheetId="8" r:id="rId6"/>
    <sheet name="Biblioteka Miejska część 7" sheetId="9" r:id="rId7"/>
    <sheet name="RCK część 8" sheetId="10" r:id="rId8"/>
    <sheet name="RAZEM" sheetId="12" r:id="rId9"/>
    <sheet name="Arkusz1" sheetId="13" r:id="rId10"/>
  </sheets>
  <calcPr calcId="145621"/>
</workbook>
</file>

<file path=xl/calcChain.xml><?xml version="1.0" encoding="utf-8"?>
<calcChain xmlns="http://schemas.openxmlformats.org/spreadsheetml/2006/main">
  <c r="X48" i="12" l="1"/>
  <c r="AC6" i="12"/>
  <c r="T8" i="12"/>
  <c r="W8" i="12" s="1"/>
  <c r="X8" i="12" s="1"/>
  <c r="S8" i="12"/>
  <c r="R51" i="3"/>
  <c r="R52" i="3"/>
  <c r="Q52" i="3"/>
  <c r="Q51" i="3"/>
  <c r="Q50" i="3"/>
  <c r="U9" i="12" l="1"/>
  <c r="T9" i="12"/>
  <c r="U8" i="12"/>
  <c r="R9" i="12"/>
  <c r="R8" i="12"/>
  <c r="AA13" i="12"/>
  <c r="Z13" i="12"/>
  <c r="AB11" i="12"/>
  <c r="AC11" i="12" s="1"/>
  <c r="AB12" i="12"/>
  <c r="AC12" i="12" s="1"/>
  <c r="AB10" i="12"/>
  <c r="AC10" i="12" s="1"/>
  <c r="AA10" i="12"/>
  <c r="Z10" i="12"/>
  <c r="AA12" i="12"/>
  <c r="Z12" i="12"/>
  <c r="AA11" i="12"/>
  <c r="Z11" i="12"/>
  <c r="Z9" i="12"/>
  <c r="M9" i="12"/>
  <c r="M8" i="12"/>
  <c r="K9" i="12"/>
  <c r="K8" i="12"/>
  <c r="N8" i="12" s="1"/>
  <c r="O8" i="12" s="1"/>
  <c r="D9" i="12"/>
  <c r="D8" i="12"/>
  <c r="AA8" i="12"/>
  <c r="Z8" i="12"/>
  <c r="AA9" i="12"/>
  <c r="AB9" i="12" s="1"/>
  <c r="AB5" i="12"/>
  <c r="AA5" i="12"/>
  <c r="Z5" i="12"/>
  <c r="AA6" i="12"/>
  <c r="AB6" i="12" s="1"/>
  <c r="Z6" i="12"/>
  <c r="O5" i="12"/>
  <c r="I6" i="12"/>
  <c r="M6" i="12"/>
  <c r="T6" i="12"/>
  <c r="M80" i="2"/>
  <c r="S80" i="2"/>
  <c r="R80" i="2"/>
  <c r="Q80" i="2"/>
  <c r="K13" i="12"/>
  <c r="S38" i="3"/>
  <c r="S31" i="3"/>
  <c r="Q46" i="3"/>
  <c r="Q31" i="3"/>
  <c r="R32" i="3"/>
  <c r="R53" i="3"/>
  <c r="S53" i="3"/>
  <c r="Q53" i="3"/>
  <c r="R50" i="3"/>
  <c r="S50" i="3"/>
  <c r="S48" i="3"/>
  <c r="R48" i="3"/>
  <c r="Q48" i="3"/>
  <c r="R47" i="3"/>
  <c r="S47" i="3"/>
  <c r="Q47" i="3"/>
  <c r="R46" i="3"/>
  <c r="S46" i="3"/>
  <c r="Q44" i="3"/>
  <c r="S43" i="3"/>
  <c r="R31" i="3"/>
  <c r="AA7" i="12" l="1"/>
  <c r="AB13" i="12"/>
  <c r="Z7" i="12"/>
  <c r="AB7" i="12" s="1"/>
  <c r="AB8" i="12"/>
  <c r="S25" i="3"/>
  <c r="S77" i="2"/>
  <c r="R79" i="2"/>
  <c r="Q79" i="2"/>
  <c r="S79" i="2"/>
  <c r="D40" i="12" l="1"/>
  <c r="S34" i="12"/>
  <c r="S36" i="12"/>
  <c r="S31" i="12"/>
  <c r="Q37" i="12"/>
  <c r="R37" i="12"/>
  <c r="P37" i="12"/>
  <c r="O34" i="12"/>
  <c r="O36" i="12"/>
  <c r="O31" i="12"/>
  <c r="N32" i="12"/>
  <c r="N33" i="12"/>
  <c r="N34" i="12"/>
  <c r="N35" i="12"/>
  <c r="N37" i="12" s="1"/>
  <c r="N36" i="12"/>
  <c r="N31" i="12"/>
  <c r="M42" i="12"/>
  <c r="I34" i="12"/>
  <c r="I35" i="12"/>
  <c r="I36" i="12"/>
  <c r="I31" i="12"/>
  <c r="C32" i="12"/>
  <c r="I32" i="12" s="1"/>
  <c r="O32" i="12" s="1"/>
  <c r="S32" i="12" s="1"/>
  <c r="R32" i="1"/>
  <c r="Q32" i="1"/>
  <c r="R63" i="1"/>
  <c r="Q63" i="1"/>
  <c r="R62" i="1"/>
  <c r="Q62" i="1"/>
  <c r="R60" i="1"/>
  <c r="Q60" i="1"/>
  <c r="Q61" i="1"/>
  <c r="R61" i="1"/>
  <c r="S61" i="1" s="1"/>
  <c r="R45" i="3"/>
  <c r="Q45" i="3"/>
  <c r="S45" i="3"/>
  <c r="S44" i="3"/>
  <c r="R44" i="3"/>
  <c r="R43" i="3"/>
  <c r="Q43" i="3"/>
  <c r="O35" i="12" l="1"/>
  <c r="S35" i="12" s="1"/>
  <c r="U14" i="12"/>
  <c r="T14" i="12"/>
  <c r="R53" i="1" l="1"/>
  <c r="R64" i="1" s="1"/>
  <c r="R66" i="1" s="1"/>
  <c r="Q53" i="1"/>
  <c r="Q64" i="1" s="1"/>
  <c r="Q66" i="1" s="1"/>
  <c r="R52" i="1"/>
  <c r="Q52" i="1"/>
  <c r="R51" i="1"/>
  <c r="Q51" i="1"/>
  <c r="S52" i="1"/>
  <c r="S63" i="1" s="1"/>
  <c r="S53" i="1"/>
  <c r="S64" i="1" s="1"/>
  <c r="R49" i="1"/>
  <c r="Q49" i="1"/>
  <c r="S49" i="1" s="1"/>
  <c r="W9" i="12"/>
  <c r="W14" i="12"/>
  <c r="X14" i="12" s="1"/>
  <c r="W15" i="12"/>
  <c r="X15" i="12" s="1"/>
  <c r="W16" i="12"/>
  <c r="X16" i="12" s="1"/>
  <c r="Q32" i="3"/>
  <c r="S14" i="12"/>
  <c r="S15" i="12"/>
  <c r="S16" i="12"/>
  <c r="Q17" i="12"/>
  <c r="R17" i="12"/>
  <c r="R7" i="12"/>
  <c r="R6" i="12"/>
  <c r="Q13" i="12"/>
  <c r="Q16" i="12"/>
  <c r="Q15" i="12"/>
  <c r="Q14" i="12"/>
  <c r="L17" i="12"/>
  <c r="P17" i="12"/>
  <c r="P6" i="12"/>
  <c r="O14" i="12"/>
  <c r="N10" i="12"/>
  <c r="N11" i="12"/>
  <c r="N12" i="12"/>
  <c r="N14" i="12"/>
  <c r="L6" i="12"/>
  <c r="K7" i="12"/>
  <c r="K6" i="12"/>
  <c r="J6" i="12"/>
  <c r="I14" i="12"/>
  <c r="I5" i="12"/>
  <c r="S19" i="1"/>
  <c r="Q22" i="4"/>
  <c r="R22" i="4"/>
  <c r="S25" i="4"/>
  <c r="N9" i="12" s="1"/>
  <c r="S24" i="4"/>
  <c r="R23" i="4"/>
  <c r="Q23" i="4"/>
  <c r="Q26" i="4"/>
  <c r="T5" i="12" s="1"/>
  <c r="R26" i="4"/>
  <c r="U5" i="12" s="1"/>
  <c r="R34" i="3"/>
  <c r="R35" i="3"/>
  <c r="Q35" i="3"/>
  <c r="Q34" i="3"/>
  <c r="R33" i="3"/>
  <c r="Q33" i="3"/>
  <c r="S41" i="3"/>
  <c r="Q31" i="1"/>
  <c r="T13" i="12" s="1"/>
  <c r="S7" i="9"/>
  <c r="Q7" i="9"/>
  <c r="S5" i="9"/>
  <c r="Q5" i="9"/>
  <c r="S21" i="8"/>
  <c r="S22" i="8"/>
  <c r="S23" i="8"/>
  <c r="S20" i="8"/>
  <c r="R23" i="8"/>
  <c r="Q23" i="8"/>
  <c r="R20" i="8"/>
  <c r="S18" i="8"/>
  <c r="R18" i="8"/>
  <c r="Q18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4" i="8"/>
  <c r="S3" i="8"/>
  <c r="K17" i="12" l="1"/>
  <c r="N6" i="12"/>
  <c r="O6" i="12" s="1"/>
  <c r="W5" i="12"/>
  <c r="S60" i="1"/>
  <c r="S51" i="1"/>
  <c r="S62" i="1" s="1"/>
  <c r="S4" i="9"/>
  <c r="S3" i="9"/>
  <c r="Q11" i="11"/>
  <c r="R11" i="11"/>
  <c r="S11" i="11"/>
  <c r="S6" i="12" l="1"/>
  <c r="S66" i="1"/>
  <c r="S30" i="3"/>
  <c r="S29" i="3"/>
  <c r="S28" i="3"/>
  <c r="Q27" i="3"/>
  <c r="R27" i="3"/>
  <c r="S24" i="3"/>
  <c r="S23" i="3"/>
  <c r="S22" i="3"/>
  <c r="S21" i="3"/>
  <c r="S20" i="3"/>
  <c r="S19" i="3"/>
  <c r="S18" i="3"/>
  <c r="S17" i="3"/>
  <c r="S16" i="3"/>
  <c r="S12" i="3"/>
  <c r="S13" i="3"/>
  <c r="S14" i="3"/>
  <c r="S15" i="3"/>
  <c r="S11" i="3"/>
  <c r="S4" i="3"/>
  <c r="S5" i="3"/>
  <c r="S6" i="3"/>
  <c r="S7" i="3"/>
  <c r="S8" i="3"/>
  <c r="S9" i="3"/>
  <c r="S10" i="3"/>
  <c r="S3" i="3"/>
  <c r="S10" i="10"/>
  <c r="S9" i="10"/>
  <c r="S8" i="10"/>
  <c r="R11" i="10"/>
  <c r="S11" i="10"/>
  <c r="R8" i="10"/>
  <c r="S4" i="10"/>
  <c r="S3" i="10"/>
  <c r="M81" i="2"/>
  <c r="C33" i="12" s="1"/>
  <c r="I33" i="12" s="1"/>
  <c r="S35" i="1"/>
  <c r="I9" i="12" s="1"/>
  <c r="O9" i="12" s="1"/>
  <c r="S34" i="1"/>
  <c r="I8" i="12" s="1"/>
  <c r="R31" i="1"/>
  <c r="U13" i="12" s="1"/>
  <c r="W13" i="12" s="1"/>
  <c r="R33" i="1"/>
  <c r="U7" i="12" s="1"/>
  <c r="S9" i="12" l="1"/>
  <c r="X9" i="12" s="1"/>
  <c r="AC9" i="12"/>
  <c r="AC8" i="12"/>
  <c r="O33" i="12"/>
  <c r="S33" i="12" s="1"/>
  <c r="I37" i="12"/>
  <c r="O37" i="12" s="1"/>
  <c r="S37" i="12" s="1"/>
  <c r="J13" i="12"/>
  <c r="S27" i="3"/>
  <c r="S32" i="3"/>
  <c r="S76" i="2"/>
  <c r="J17" i="12" l="1"/>
  <c r="N13" i="12"/>
  <c r="S4" i="11"/>
  <c r="S5" i="11"/>
  <c r="S6" i="11"/>
  <c r="S7" i="11"/>
  <c r="S3" i="11"/>
  <c r="S4" i="4"/>
  <c r="S5" i="4"/>
  <c r="S6" i="4"/>
  <c r="S7" i="4"/>
  <c r="S23" i="4" s="1"/>
  <c r="M7" i="12" s="1"/>
  <c r="N7" i="12" s="1"/>
  <c r="S8" i="4"/>
  <c r="S9" i="4"/>
  <c r="S10" i="4"/>
  <c r="S11" i="4"/>
  <c r="S12" i="4"/>
  <c r="S22" i="4" s="1"/>
  <c r="S3" i="4"/>
  <c r="Q13" i="4"/>
  <c r="R13" i="4"/>
  <c r="S26" i="4" l="1"/>
  <c r="S21" i="4" s="1"/>
  <c r="S27" i="1"/>
  <c r="H6" i="12" s="1"/>
  <c r="H17" i="12" s="1"/>
  <c r="S26" i="1"/>
  <c r="S22" i="1"/>
  <c r="S23" i="1"/>
  <c r="S24" i="1"/>
  <c r="S25" i="1"/>
  <c r="S21" i="1"/>
  <c r="G6" i="12" s="1"/>
  <c r="G17" i="12" s="1"/>
  <c r="S20" i="1"/>
  <c r="S18" i="1"/>
  <c r="S17" i="1"/>
  <c r="S16" i="1"/>
  <c r="F6" i="12" s="1"/>
  <c r="F17" i="12" s="1"/>
  <c r="S15" i="1"/>
  <c r="S14" i="1"/>
  <c r="S13" i="1"/>
  <c r="S12" i="1"/>
  <c r="S11" i="1"/>
  <c r="S10" i="1"/>
  <c r="S4" i="1"/>
  <c r="S5" i="1"/>
  <c r="S6" i="1"/>
  <c r="S7" i="1"/>
  <c r="S8" i="1"/>
  <c r="S9" i="1"/>
  <c r="D7" i="12" s="1"/>
  <c r="I7" i="12" s="1"/>
  <c r="O7" i="12" s="1"/>
  <c r="S3" i="1"/>
  <c r="R9" i="1"/>
  <c r="R50" i="1" s="1"/>
  <c r="R56" i="1" s="1"/>
  <c r="Q9" i="1"/>
  <c r="S7" i="12" l="1"/>
  <c r="AC7" i="12"/>
  <c r="M5" i="12"/>
  <c r="S33" i="4"/>
  <c r="E6" i="12"/>
  <c r="E17" i="12" s="1"/>
  <c r="D13" i="12"/>
  <c r="I13" i="12" s="1"/>
  <c r="O13" i="12" s="1"/>
  <c r="S31" i="1"/>
  <c r="Q50" i="1"/>
  <c r="Q33" i="1"/>
  <c r="D6" i="12"/>
  <c r="S32" i="1"/>
  <c r="S67" i="1" s="1"/>
  <c r="S26" i="2"/>
  <c r="S27" i="2"/>
  <c r="S29" i="2"/>
  <c r="S30" i="2"/>
  <c r="S32" i="2"/>
  <c r="S33" i="2"/>
  <c r="S34" i="2"/>
  <c r="S35" i="2"/>
  <c r="S36" i="2"/>
  <c r="S37" i="2"/>
  <c r="S38" i="2"/>
  <c r="S40" i="2"/>
  <c r="S41" i="2"/>
  <c r="S48" i="2"/>
  <c r="S49" i="2"/>
  <c r="S50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4" i="2"/>
  <c r="S5" i="2"/>
  <c r="S6" i="2"/>
  <c r="S8" i="2"/>
  <c r="S9" i="2"/>
  <c r="S12" i="2"/>
  <c r="S14" i="2"/>
  <c r="S16" i="2"/>
  <c r="S18" i="2"/>
  <c r="S20" i="2"/>
  <c r="S21" i="2"/>
  <c r="S23" i="2"/>
  <c r="S25" i="2"/>
  <c r="Q51" i="2"/>
  <c r="Q47" i="2"/>
  <c r="Q46" i="2"/>
  <c r="Q45" i="2"/>
  <c r="Q44" i="2"/>
  <c r="Q43" i="2"/>
  <c r="Q42" i="2"/>
  <c r="Q39" i="2"/>
  <c r="Q28" i="2"/>
  <c r="Q81" i="2" s="1"/>
  <c r="T10" i="12" s="1"/>
  <c r="R22" i="2"/>
  <c r="S22" i="2" s="1"/>
  <c r="S3" i="2"/>
  <c r="S13" i="12" l="1"/>
  <c r="X13" i="12" s="1"/>
  <c r="AC13" i="12"/>
  <c r="D17" i="12"/>
  <c r="M17" i="12"/>
  <c r="N5" i="12"/>
  <c r="S50" i="1"/>
  <c r="S56" i="1" s="1"/>
  <c r="Q56" i="1"/>
  <c r="T7" i="12"/>
  <c r="S33" i="1"/>
  <c r="Q82" i="2"/>
  <c r="W7" i="12" l="1"/>
  <c r="X7" i="12" s="1"/>
  <c r="S5" i="12"/>
  <c r="X5" i="12" s="1"/>
  <c r="N17" i="12"/>
  <c r="T17" i="12"/>
  <c r="Q83" i="2"/>
  <c r="T12" i="12" s="1"/>
  <c r="T11" i="12"/>
  <c r="R24" i="2"/>
  <c r="S24" i="2" s="1"/>
  <c r="R28" i="2" l="1"/>
  <c r="S28" i="2" s="1"/>
  <c r="R19" i="2"/>
  <c r="S19" i="2" s="1"/>
  <c r="R51" i="2" l="1"/>
  <c r="S51" i="2" s="1"/>
  <c r="C6" i="12" l="1"/>
  <c r="U6" i="12"/>
  <c r="Q44" i="1"/>
  <c r="W6" i="12" l="1"/>
  <c r="Q45" i="1"/>
  <c r="S33" i="3" l="1"/>
  <c r="Q68" i="11" l="1"/>
  <c r="T68" i="11" s="1"/>
  <c r="U68" i="11" s="1"/>
  <c r="Q48" i="11"/>
  <c r="X6" i="12" l="1"/>
  <c r="Q28" i="1"/>
  <c r="Q5" i="10" l="1"/>
  <c r="R5" i="9"/>
  <c r="R7" i="9"/>
  <c r="Q11" i="10"/>
  <c r="Q8" i="10"/>
  <c r="Q65" i="10"/>
  <c r="T65" i="10" s="1"/>
  <c r="U65" i="10" s="1"/>
  <c r="T65" i="9" l="1"/>
  <c r="U65" i="9" s="1"/>
  <c r="R65" i="9"/>
  <c r="Q20" i="8"/>
  <c r="S88" i="3"/>
  <c r="T88" i="3" s="1"/>
  <c r="U88" i="3" s="1"/>
  <c r="P18" i="8" l="1"/>
  <c r="Q22" i="8"/>
  <c r="Q21" i="8"/>
  <c r="S13" i="4" l="1"/>
  <c r="P28" i="1" l="1"/>
  <c r="R44" i="2" l="1"/>
  <c r="S44" i="2" s="1"/>
  <c r="R43" i="2"/>
  <c r="S43" i="2" s="1"/>
  <c r="R47" i="2" l="1"/>
  <c r="S47" i="2" s="1"/>
  <c r="R46" i="2"/>
  <c r="S46" i="2" s="1"/>
  <c r="R45" i="2"/>
  <c r="S45" i="2" s="1"/>
  <c r="R42" i="2"/>
  <c r="S42" i="2" s="1"/>
  <c r="R39" i="2"/>
  <c r="S39" i="2" s="1"/>
  <c r="R31" i="2"/>
  <c r="S31" i="2" s="1"/>
  <c r="R17" i="2"/>
  <c r="S17" i="2" s="1"/>
  <c r="R15" i="2"/>
  <c r="S15" i="2" s="1"/>
  <c r="R13" i="2"/>
  <c r="S13" i="2" s="1"/>
  <c r="R11" i="2"/>
  <c r="S11" i="2" s="1"/>
  <c r="R10" i="2"/>
  <c r="S10" i="2" s="1"/>
  <c r="R7" i="2"/>
  <c r="S7" i="2" l="1"/>
  <c r="S81" i="2" s="1"/>
  <c r="R81" i="2"/>
  <c r="R82" i="2" l="1"/>
  <c r="U11" i="12" s="1"/>
  <c r="W11" i="12" s="1"/>
  <c r="U10" i="12"/>
  <c r="S82" i="2"/>
  <c r="C10" i="12"/>
  <c r="P13" i="4"/>
  <c r="P27" i="3"/>
  <c r="I10" i="12" l="1"/>
  <c r="C17" i="12"/>
  <c r="S83" i="2"/>
  <c r="C12" i="12" s="1"/>
  <c r="I12" i="12" s="1"/>
  <c r="O12" i="12" s="1"/>
  <c r="S12" i="12" s="1"/>
  <c r="C11" i="12"/>
  <c r="I11" i="12" s="1"/>
  <c r="O11" i="12" s="1"/>
  <c r="S11" i="12" s="1"/>
  <c r="X11" i="12" s="1"/>
  <c r="W10" i="12"/>
  <c r="U17" i="12"/>
  <c r="R83" i="2"/>
  <c r="U12" i="12" s="1"/>
  <c r="W12" i="12" s="1"/>
  <c r="X12" i="12" l="1"/>
  <c r="O10" i="12"/>
  <c r="I17" i="12"/>
  <c r="N83" i="2"/>
  <c r="S10" i="12" l="1"/>
  <c r="O17" i="12"/>
  <c r="S68" i="3"/>
  <c r="S35" i="3"/>
  <c r="S28" i="4"/>
  <c r="J3" i="3"/>
  <c r="K3" i="3"/>
  <c r="J4" i="3"/>
  <c r="K4" i="3"/>
  <c r="J5" i="3"/>
  <c r="K5" i="3"/>
  <c r="J6" i="3"/>
  <c r="K6" i="3"/>
  <c r="J7" i="3"/>
  <c r="K7" i="3"/>
  <c r="J8" i="3"/>
  <c r="K8" i="3"/>
  <c r="J9" i="3"/>
  <c r="K9" i="3"/>
  <c r="J10" i="3"/>
  <c r="K10" i="3"/>
  <c r="J11" i="3"/>
  <c r="K11" i="3"/>
  <c r="J12" i="3"/>
  <c r="K12" i="3"/>
  <c r="J16" i="3"/>
  <c r="J17" i="3"/>
  <c r="J18" i="3"/>
  <c r="K18" i="3"/>
  <c r="J19" i="3"/>
  <c r="K19" i="3"/>
  <c r="J20" i="3"/>
  <c r="K20" i="3"/>
  <c r="S17" i="12" l="1"/>
  <c r="S20" i="12" s="1"/>
  <c r="X10" i="12"/>
  <c r="S21" i="12" l="1"/>
  <c r="S23" i="12"/>
  <c r="S25" i="12" s="1"/>
</calcChain>
</file>

<file path=xl/comments1.xml><?xml version="1.0" encoding="utf-8"?>
<comments xmlns="http://schemas.openxmlformats.org/spreadsheetml/2006/main">
  <authors>
    <author>Użytkownik systemu Windows</author>
    <author>ADS</author>
    <author>Roman Buszac</author>
  </authors>
  <commentList>
    <comment ref="O13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stary licznik 60251214
stany końcowe
5670,6 kWh
7862,7 kWh
stany początkowe nowego licznika 0,2 kWh; 0,0 kWh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stary licznik 60283997</t>
        </r>
      </text>
    </comment>
    <comment ref="O18" authorId="1">
      <text>
        <r>
          <rPr>
            <b/>
            <sz val="9"/>
            <color indexed="81"/>
            <rFont val="Tahoma"/>
            <family val="2"/>
            <charset val="238"/>
          </rPr>
          <t>ADS:</t>
        </r>
        <r>
          <rPr>
            <sz val="9"/>
            <color indexed="81"/>
            <rFont val="Tahoma"/>
            <family val="2"/>
            <charset val="238"/>
          </rPr>
          <t xml:space="preserve">
stary licznik wymiana prawdopodobnie w dniu30/12/2016 lub 31/01/2017
nr starego licz 70058460</t>
        </r>
      </text>
    </comment>
    <comment ref="O27" authorId="2">
      <text>
        <r>
          <rPr>
            <b/>
            <sz val="9"/>
            <color indexed="81"/>
            <rFont val="Tahoma"/>
            <family val="2"/>
            <charset val="238"/>
          </rPr>
          <t>Roman Buszac:</t>
        </r>
        <r>
          <rPr>
            <sz val="9"/>
            <color indexed="81"/>
            <rFont val="Tahoma"/>
            <family val="2"/>
            <charset val="238"/>
          </rPr>
          <t xml:space="preserve">
zmiana licznika z 70349696
na 91460512</t>
        </r>
      </text>
    </comment>
    <comment ref="O34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stary licznik 60278717
wymieniony w lutym 2019 r.
</t>
        </r>
      </text>
    </comment>
    <comment ref="O55" authorId="1">
      <text>
        <r>
          <rPr>
            <b/>
            <sz val="9"/>
            <color indexed="81"/>
            <rFont val="Tahoma"/>
            <family val="2"/>
            <charset val="238"/>
          </rPr>
          <t>ADS:</t>
        </r>
        <r>
          <rPr>
            <sz val="9"/>
            <color indexed="81"/>
            <rFont val="Tahoma"/>
            <family val="2"/>
            <charset val="238"/>
          </rPr>
          <t xml:space="preserve">
Wymieniono licznik o nr 70083910</t>
        </r>
      </text>
    </comment>
    <comment ref="O58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70799840 stary licznik wymieniony prawdopodobnie w 2018
stan końcowy169006 kWh, nowy liczni ze stanem 2,2 kWh,
nowy 94494838</t>
        </r>
      </text>
    </comment>
    <comment ref="O60" authorId="2">
      <text>
        <r>
          <rPr>
            <b/>
            <sz val="9"/>
            <color indexed="81"/>
            <rFont val="Tahoma"/>
            <family val="2"/>
            <charset val="238"/>
          </rPr>
          <t>Roman Buszac:</t>
        </r>
        <r>
          <rPr>
            <sz val="9"/>
            <color indexed="81"/>
            <rFont val="Tahoma"/>
            <family val="2"/>
            <charset val="238"/>
          </rPr>
          <t xml:space="preserve">
zmiana licznika 70043171na
91688228</t>
        </r>
      </text>
    </comment>
    <comment ref="V70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umowa z 13/01/2015</t>
        </r>
      </text>
    </comment>
    <comment ref="V71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UMOWA Z DNIA 28/07/2015</t>
        </r>
      </text>
    </comment>
    <comment ref="V72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UMOWA Z DNIA 20/07/2016</t>
        </r>
      </text>
    </comment>
    <comment ref="R73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od 1/01/2019 do 30/04/2018</t>
        </r>
      </text>
    </comment>
    <comment ref="V73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umowa z dnia 28/11/2014</t>
        </r>
      </text>
    </comment>
  </commentList>
</comments>
</file>

<file path=xl/comments2.xml><?xml version="1.0" encoding="utf-8"?>
<comments xmlns="http://schemas.openxmlformats.org/spreadsheetml/2006/main">
  <authors>
    <author>Użytkownik systemu Windows</author>
  </authors>
  <commentList>
    <comment ref="J18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<sst xmlns="http://schemas.openxmlformats.org/spreadsheetml/2006/main" count="3558" uniqueCount="794">
  <si>
    <t>Taryfa zakupowa</t>
  </si>
  <si>
    <t>Moc umowna</t>
  </si>
  <si>
    <t>Numer licznika</t>
  </si>
  <si>
    <t xml:space="preserve">Miejscowość </t>
  </si>
  <si>
    <t>Kod</t>
  </si>
  <si>
    <t>Nr</t>
  </si>
  <si>
    <t>Ulica</t>
  </si>
  <si>
    <t>Nazwa punktu poboru</t>
  </si>
  <si>
    <t>Adres mailowy</t>
  </si>
  <si>
    <t>Miejscowość (Poczta)</t>
  </si>
  <si>
    <t>NIP</t>
  </si>
  <si>
    <t>Płatnik</t>
  </si>
  <si>
    <t>Dane PPE</t>
  </si>
  <si>
    <t>Adres ppe</t>
  </si>
  <si>
    <t>Adres Płatnika</t>
  </si>
  <si>
    <t>Dane Płatnika</t>
  </si>
  <si>
    <t>L.P.</t>
  </si>
  <si>
    <t xml:space="preserve">Kod PPE </t>
  </si>
  <si>
    <t>GMINA MIASTO KOŁOBRZEG</t>
  </si>
  <si>
    <t>RATUSZOWA</t>
  </si>
  <si>
    <t>78-100</t>
  </si>
  <si>
    <t>KOŁOBRZEG</t>
  </si>
  <si>
    <t>671-16-98-541</t>
  </si>
  <si>
    <t>r.buszac@um.kolobrzeg.pl</t>
  </si>
  <si>
    <t>C12B</t>
  </si>
  <si>
    <t>ILUMINACJA KATEDRY</t>
  </si>
  <si>
    <t>ILUMINACJA RATUSZA</t>
  </si>
  <si>
    <t>TARNOWSKIEGO</t>
  </si>
  <si>
    <t>MARIACKA</t>
  </si>
  <si>
    <t xml:space="preserve">OŚWIETLENIE ULICZNE </t>
  </si>
  <si>
    <t>ARMII KRAJOWEJ</t>
  </si>
  <si>
    <t xml:space="preserve">OŚWIETLENIE PARKU </t>
  </si>
  <si>
    <t>OŚWIETLENIE PRZEJŚCIA DLA PIESZYCH</t>
  </si>
  <si>
    <t>ZDROJOWA</t>
  </si>
  <si>
    <t>WYLOTOWA</t>
  </si>
  <si>
    <t>KRZYWOUSTEGO</t>
  </si>
  <si>
    <t>UNII LUBELSKIEJ</t>
  </si>
  <si>
    <t>OŚWIETLENIE OSIEDLE MILENIUM</t>
  </si>
  <si>
    <t>OŚWIETLENIE PODWÓRKA</t>
  </si>
  <si>
    <t>DWORCOWA</t>
  </si>
  <si>
    <t>SPACEROWA</t>
  </si>
  <si>
    <t>BOGUSŁAWA X</t>
  </si>
  <si>
    <t>KAMIENNA</t>
  </si>
  <si>
    <t>NARUTOWICZA</t>
  </si>
  <si>
    <t>ILUMINACJA BASZTY PROCHOWEJ</t>
  </si>
  <si>
    <t>DUBOIS</t>
  </si>
  <si>
    <t>ŚW. WOJCIECHA</t>
  </si>
  <si>
    <t>SIENKIEWICZA</t>
  </si>
  <si>
    <t>WARYŃSKIEGO</t>
  </si>
  <si>
    <t>ŁOPUSKIEGO</t>
  </si>
  <si>
    <t>OŚWIETLENIE PARKU - PODCZELE</t>
  </si>
  <si>
    <t>KRZEMIENIECKA</t>
  </si>
  <si>
    <t>JASNA</t>
  </si>
  <si>
    <t>OŚWIETLENIE - LAPIDARIUM NIEMIECKIE</t>
  </si>
  <si>
    <t>ARCISZEWSKIEGO</t>
  </si>
  <si>
    <t xml:space="preserve">OŚWIETLENIE KŁADKI </t>
  </si>
  <si>
    <t>MORSKA</t>
  </si>
  <si>
    <t>OŚWIETLENIE TERENU</t>
  </si>
  <si>
    <t>WSCHODNIA</t>
  </si>
  <si>
    <t>OŚWIETLENIE BINDAŻ</t>
  </si>
  <si>
    <t>WOJSKA POLSKIEGO</t>
  </si>
  <si>
    <t>OŚWIETENIE PODWÓRKA</t>
  </si>
  <si>
    <t>KATEDRALNA</t>
  </si>
  <si>
    <t>OŚWIETLENIE PLACU ZABAW</t>
  </si>
  <si>
    <t>WĄSKA</t>
  </si>
  <si>
    <t>DZ.355/1</t>
  </si>
  <si>
    <t>SZARYCH SZEREGÓW</t>
  </si>
  <si>
    <t>ZAGŁOBY</t>
  </si>
  <si>
    <t>KETLINGA</t>
  </si>
  <si>
    <t>HELSIŃSKA</t>
  </si>
  <si>
    <t>ILUMINACJA LATARNI MORSKIEJ</t>
  </si>
  <si>
    <t>GRYFITÓW</t>
  </si>
  <si>
    <t>UCZNIOWSKA</t>
  </si>
  <si>
    <t>KALISKA</t>
  </si>
  <si>
    <t>FRANKOWSKIEGO</t>
  </si>
  <si>
    <t>ŻURAWIA</t>
  </si>
  <si>
    <t>OŚWIETLENIE ULICZNE - ETAP II</t>
  </si>
  <si>
    <t>BUDYNEK URZĘDU MIASTA</t>
  </si>
  <si>
    <t>BUDYNEK URZĘDU MIASTA-POKÓJ NR 5</t>
  </si>
  <si>
    <t>BUDYNEK RATUSZ</t>
  </si>
  <si>
    <t>BUDYNEK</t>
  </si>
  <si>
    <t>KASKADA WODNA</t>
  </si>
  <si>
    <t>GIERCZAK</t>
  </si>
  <si>
    <t>FONTANNA - SKWER PIONIERÓW</t>
  </si>
  <si>
    <t>FONTANNA PARK 18 MARCA</t>
  </si>
  <si>
    <t>FONTANNA</t>
  </si>
  <si>
    <t>TOWAROWA</t>
  </si>
  <si>
    <t>C21</t>
  </si>
  <si>
    <t>C11</t>
  </si>
  <si>
    <t>70081153</t>
  </si>
  <si>
    <t>70349746</t>
  </si>
  <si>
    <t>DZ.184/16</t>
  </si>
  <si>
    <t>DZ.48/29</t>
  </si>
  <si>
    <t>DZ.176/43</t>
  </si>
  <si>
    <t>7800670</t>
  </si>
  <si>
    <t>60898131</t>
  </si>
  <si>
    <t>60898158</t>
  </si>
  <si>
    <t>70348970</t>
  </si>
  <si>
    <t>70345686</t>
  </si>
  <si>
    <t>70117419</t>
  </si>
  <si>
    <t>00017870</t>
  </si>
  <si>
    <t>OŚWIETLENIE DROGOWE</t>
  </si>
  <si>
    <t>OŚWIETLENIE ULIC</t>
  </si>
  <si>
    <t xml:space="preserve"> RATUSZOWA</t>
  </si>
  <si>
    <t>DZ.141/48</t>
  </si>
  <si>
    <t>OŚWIETLENIE DROGOWE / REYMONTA</t>
  </si>
  <si>
    <t>OŚWITLENIE PLAC ZABAW OGRÓDEK JORANOWSKI</t>
  </si>
  <si>
    <t>DZ.94/97</t>
  </si>
  <si>
    <t>OŚWIETLENIE TERENÓW PUBLICZNYCH</t>
  </si>
  <si>
    <t xml:space="preserve">OŚWIETLENIE PODWÓRKA DWORCOWA. </t>
  </si>
  <si>
    <t>OŚWIETLENIE PODWÓRKA WARYŃSKIEGO</t>
  </si>
  <si>
    <t>ALEJA NADMORSKA</t>
  </si>
  <si>
    <t>OŚWIETLENIE KOMBATANT</t>
  </si>
  <si>
    <t>OŚWIETLENIE WISTOM</t>
  </si>
  <si>
    <t>zmiana sprzedawcy</t>
  </si>
  <si>
    <t>kolejna</t>
  </si>
  <si>
    <t>nr umowy kompleksowej</t>
  </si>
  <si>
    <t>nazwa obecnego sprzedawcy</t>
  </si>
  <si>
    <t xml:space="preserve">umowa zawarta </t>
  </si>
  <si>
    <t>DZ.175/15</t>
  </si>
  <si>
    <t>Nr ewidencyjny u aktualnego sprzedawcy</t>
  </si>
  <si>
    <t>6 DYW.PIECHOTY</t>
  </si>
  <si>
    <t>DZ. 137/5</t>
  </si>
  <si>
    <t xml:space="preserve">OŚWIETLENIE ZEWNĘTRZNE </t>
  </si>
  <si>
    <t>DZ.173/30</t>
  </si>
  <si>
    <t>03998972</t>
  </si>
  <si>
    <t>wypowiedzenie umowy</t>
  </si>
  <si>
    <t>78-101</t>
  </si>
  <si>
    <t>PRZEPOMPOWNIA WODY</t>
  </si>
  <si>
    <t>78-103</t>
  </si>
  <si>
    <t>POMIESZCZENIA BIUROWE</t>
  </si>
  <si>
    <t>PARK im. JAROSŁAWA DĄBROWSKIEGO</t>
  </si>
  <si>
    <t>1</t>
  </si>
  <si>
    <t>C12a</t>
  </si>
  <si>
    <t>DZ. 409</t>
  </si>
  <si>
    <t xml:space="preserve">REGIONALNE CENTRUM KULTURY </t>
  </si>
  <si>
    <t>MIEJSKI OŚRODEK POMOCY SPOŁECZNEJ</t>
  </si>
  <si>
    <t>PRZEDSZKOLE MIEJSKIE NR 1</t>
  </si>
  <si>
    <t>PRZEDSZKOLE MIEJSKIE NR 2</t>
  </si>
  <si>
    <t>PRZEDSZKOLE MIEJSKIE NR 3</t>
  </si>
  <si>
    <t>PRZEDSZKOLE MIEJSKIE NR 6</t>
  </si>
  <si>
    <t>PRZEDSZKOLE MIEJSKIE NR 7</t>
  </si>
  <si>
    <t>PRZEDSZKOLE MIEJSKIE NR 8</t>
  </si>
  <si>
    <t>PRZEDSZKOLE MIEJSKIE NR 10</t>
  </si>
  <si>
    <t xml:space="preserve">SOLNA </t>
  </si>
  <si>
    <t xml:space="preserve">BUDYNEK </t>
  </si>
  <si>
    <t>SOLNA</t>
  </si>
  <si>
    <t>ŚWIETLICA</t>
  </si>
  <si>
    <t>OKOPOWA</t>
  </si>
  <si>
    <t>ZYGMUNTOWSKA</t>
  </si>
  <si>
    <t>BORZYMOWSKIEGO</t>
  </si>
  <si>
    <t>KOŚCIUSZKI</t>
  </si>
  <si>
    <t>BOCIANIA</t>
  </si>
  <si>
    <t>4A</t>
  </si>
  <si>
    <t>ŻŁOBEK "KRASNAL"</t>
  </si>
  <si>
    <t>ZWYCIĘZCÓW</t>
  </si>
  <si>
    <t>PIWNICA - BUDYNEK</t>
  </si>
  <si>
    <t>UNII LUELSKIEJ</t>
  </si>
  <si>
    <t>15</t>
  </si>
  <si>
    <t>C12A</t>
  </si>
  <si>
    <t>C22A</t>
  </si>
  <si>
    <t>SZKOŁA PODSTAWOWA NR 6</t>
  </si>
  <si>
    <t>SZKOŁA PODSTAWOWA NR 5</t>
  </si>
  <si>
    <t>SZKOŁA PODSTAWOWA NR 4</t>
  </si>
  <si>
    <t>SZKOŁA PODSTAWOWA NR 8</t>
  </si>
  <si>
    <t>PORTOWA</t>
  </si>
  <si>
    <t xml:space="preserve">POZNAŃSKA </t>
  </si>
  <si>
    <t>KUPIECKA</t>
  </si>
  <si>
    <t>BYDGOSKA</t>
  </si>
  <si>
    <t>DZ. 49</t>
  </si>
  <si>
    <t>e.haniewicz@.kolobrzeg.pl</t>
  </si>
  <si>
    <t>j.wasila@sp4kg.pl</t>
  </si>
  <si>
    <t>34A</t>
  </si>
  <si>
    <t>70799728</t>
  </si>
  <si>
    <t>671-177-21-77</t>
  </si>
  <si>
    <t>1251534</t>
  </si>
  <si>
    <t>t.jezierski@mops.kolobrzeg.pl</t>
  </si>
  <si>
    <t>a.buczkowska@pm6kg.pl</t>
  </si>
  <si>
    <t>d.adamczyk@pm8kg.pl</t>
  </si>
  <si>
    <t>g.kozlowska@pm10kg.pl</t>
  </si>
  <si>
    <t>l.mikolajek@g1kg.pl</t>
  </si>
  <si>
    <t>d.warzocha@pm2kg.pl</t>
  </si>
  <si>
    <t>BRZESKA</t>
  </si>
  <si>
    <t>KOŁŁĄTAJA</t>
  </si>
  <si>
    <t>ŚCIEŻKA ROWEROWA CIĄG PIESZY OŚWIETLENIE</t>
  </si>
  <si>
    <t>03996104</t>
  </si>
  <si>
    <t>Lokale użytkowe I Piętro Graniczna 6</t>
  </si>
  <si>
    <t>Świetlica Jedn. Narodowej 42</t>
  </si>
  <si>
    <t>04005628</t>
  </si>
  <si>
    <t>80502326</t>
  </si>
  <si>
    <t>12477122</t>
  </si>
  <si>
    <t>30020215</t>
  </si>
  <si>
    <t>PL0037550107655433</t>
  </si>
  <si>
    <t>PL0037550107110718</t>
  </si>
  <si>
    <t>PL0037555010788527</t>
  </si>
  <si>
    <t>PL0037555010710995</t>
  </si>
  <si>
    <t>PL0037555010788558</t>
  </si>
  <si>
    <t>PL0037550107655332</t>
  </si>
  <si>
    <t>PL0037550107605418</t>
  </si>
  <si>
    <t>PL0037550107605519</t>
  </si>
  <si>
    <t>PL0037555010788568</t>
  </si>
  <si>
    <t>PL0037550107605721</t>
  </si>
  <si>
    <t>PL0037550107604913</t>
  </si>
  <si>
    <t>PL0037550107605014</t>
  </si>
  <si>
    <t>PL0037555010711096</t>
  </si>
  <si>
    <t>PL0037550108184687</t>
  </si>
  <si>
    <t>PL0037555010659465</t>
  </si>
  <si>
    <t>PL0037555010383421</t>
  </si>
  <si>
    <t>PL0037555010659566</t>
  </si>
  <si>
    <t>PL0037555010788538</t>
  </si>
  <si>
    <t>PL0037555010788548</t>
  </si>
  <si>
    <t>PL0037550107605620</t>
  </si>
  <si>
    <t>PL0037550107605317</t>
  </si>
  <si>
    <t>PL0037550107655231</t>
  </si>
  <si>
    <t>PL0037550107111425</t>
  </si>
  <si>
    <t>PL0037550107654019</t>
  </si>
  <si>
    <t>PL0037550107741117</t>
  </si>
  <si>
    <t>PL0037555010787810</t>
  </si>
  <si>
    <t>PL0037550107653918</t>
  </si>
  <si>
    <t>PL0037550107606529</t>
  </si>
  <si>
    <t>PL0037550107606630</t>
  </si>
  <si>
    <t>PL0037550107361504</t>
  </si>
  <si>
    <t>PL0037550107181446</t>
  </si>
  <si>
    <t>PL0037550107307445</t>
  </si>
  <si>
    <t>PL0037550106862053</t>
  </si>
  <si>
    <t>PL0037550107485883</t>
  </si>
  <si>
    <t>PL0037550107503263</t>
  </si>
  <si>
    <t>PL0037550107831952</t>
  </si>
  <si>
    <t>PL0037550107832053</t>
  </si>
  <si>
    <t>PL0037550107903286</t>
  </si>
  <si>
    <t>PL0037550107767082</t>
  </si>
  <si>
    <t>PL0037550108085061</t>
  </si>
  <si>
    <t>PL0037550108072836</t>
  </si>
  <si>
    <t>PL0037550000043936</t>
  </si>
  <si>
    <t>PL0037550108400818</t>
  </si>
  <si>
    <t>PL0037550108400616</t>
  </si>
  <si>
    <t>PL0037550108448712</t>
  </si>
  <si>
    <t>PL0037550108402939</t>
  </si>
  <si>
    <t>PL0037550108433756</t>
  </si>
  <si>
    <t>PL0037550108507316</t>
  </si>
  <si>
    <t>PL0037550108543688</t>
  </si>
  <si>
    <t>PL0037550000039286</t>
  </si>
  <si>
    <t>PL0037550108689693</t>
  </si>
  <si>
    <t>PL0037550000014836</t>
  </si>
  <si>
    <t>PL0037550107773247</t>
  </si>
  <si>
    <t>PL0037550107756372</t>
  </si>
  <si>
    <t>PL0037555010787851</t>
  </si>
  <si>
    <t>PL0037550107761527</t>
  </si>
  <si>
    <t>PL0037550106568831</t>
  </si>
  <si>
    <t>PL0037550106444953</t>
  </si>
  <si>
    <t>PL0037550106445054</t>
  </si>
  <si>
    <t>PL0037550107821545</t>
  </si>
  <si>
    <t>PL0037550108237837</t>
  </si>
  <si>
    <t>PL0037550108446183</t>
  </si>
  <si>
    <t>PL0037550106445559</t>
  </si>
  <si>
    <t>PL0037550107236111</t>
  </si>
  <si>
    <t>PL0037550107826393</t>
  </si>
  <si>
    <t>PL0037550106496079</t>
  </si>
  <si>
    <t>PL0037550106496180</t>
  </si>
  <si>
    <t>PL0037550106495877</t>
  </si>
  <si>
    <t>PL0037550108271987</t>
  </si>
  <si>
    <t>PL0037550106908331</t>
  </si>
  <si>
    <t>PL0037550106998156</t>
  </si>
  <si>
    <t>PL0037550103832118</t>
  </si>
  <si>
    <t>PL0037550106981079</t>
  </si>
  <si>
    <t>PL0037550106805873</t>
  </si>
  <si>
    <t>PL0037550106942178</t>
  </si>
  <si>
    <t>PL0037550106507294</t>
  </si>
  <si>
    <t>PL0037550106937229</t>
  </si>
  <si>
    <t>PL0037550106931872</t>
  </si>
  <si>
    <t>PL0037550107847716</t>
  </si>
  <si>
    <t>PL0037550107451834</t>
  </si>
  <si>
    <t>PL0037550107333414</t>
  </si>
  <si>
    <t>PL0037550107451935</t>
  </si>
  <si>
    <t>PL0037550106904893</t>
  </si>
  <si>
    <t>PL0037550108271886</t>
  </si>
  <si>
    <t>PL0037550000048610</t>
  </si>
  <si>
    <t>STAŃCZYKA</t>
  </si>
  <si>
    <t>DZ.. 41/23</t>
  </si>
  <si>
    <t>WARZELNICZA</t>
  </si>
  <si>
    <t>RZECZNA</t>
  </si>
  <si>
    <t>STOCZNIOWA</t>
  </si>
  <si>
    <t>PL0037550108813268</t>
  </si>
  <si>
    <t>Podczele ul. Lwowska</t>
  </si>
  <si>
    <t>m.hazubska@pm7kg.pl</t>
  </si>
  <si>
    <t>zca.dyrektor@rck.kolobrzeg.eu</t>
  </si>
  <si>
    <t>j.libera@pm3kg.pl</t>
  </si>
  <si>
    <t>g.roni.zlobek@wp.pl</t>
  </si>
  <si>
    <t>LWOWSKA</t>
  </si>
  <si>
    <t>m.zemojtel@pm1kg.pl</t>
  </si>
  <si>
    <t>PL0037550103823024</t>
  </si>
  <si>
    <t>zskolobrzeg@op.pl</t>
  </si>
  <si>
    <t>nr umowy sprzedaży</t>
  </si>
  <si>
    <t>BUDYNEK "SEZAM"</t>
  </si>
  <si>
    <t>00078121</t>
  </si>
  <si>
    <t>DZ.168/4</t>
  </si>
  <si>
    <t>01197478</t>
  </si>
  <si>
    <t>DZ.352</t>
  </si>
  <si>
    <t>PL0037550000048703</t>
  </si>
  <si>
    <t>72059516</t>
  </si>
  <si>
    <t>70303493</t>
  </si>
  <si>
    <t>30.06.2009</t>
  </si>
  <si>
    <t>Data zawarcia</t>
  </si>
  <si>
    <t>Aneks nr D/1/2010</t>
  </si>
  <si>
    <t>Tak</t>
  </si>
  <si>
    <t>01.05.2009</t>
  </si>
  <si>
    <t>Aneks nr 1 01/06/2010</t>
  </si>
  <si>
    <t>Umowy o świadczenie usług  dystrybucji energii elektrycznej</t>
  </si>
  <si>
    <t>16.09.2014</t>
  </si>
  <si>
    <t>C500009270</t>
  </si>
  <si>
    <t>B500108080</t>
  </si>
  <si>
    <t>01.03.2010</t>
  </si>
  <si>
    <t>B500100180</t>
  </si>
  <si>
    <t>22.12.2009</t>
  </si>
  <si>
    <t>C500009400</t>
  </si>
  <si>
    <t>C500009080</t>
  </si>
  <si>
    <t>C500009090</t>
  </si>
  <si>
    <t>C50009180</t>
  </si>
  <si>
    <t>C500009190</t>
  </si>
  <si>
    <t>C500009200</t>
  </si>
  <si>
    <t>C500009440</t>
  </si>
  <si>
    <t>C500009060</t>
  </si>
  <si>
    <t>C500009210</t>
  </si>
  <si>
    <t>C500009220</t>
  </si>
  <si>
    <t>B500108060</t>
  </si>
  <si>
    <t>C500009390</t>
  </si>
  <si>
    <t>C500009430</t>
  </si>
  <si>
    <t>B500108090</t>
  </si>
  <si>
    <t>C500009240</t>
  </si>
  <si>
    <t>C500009230</t>
  </si>
  <si>
    <t>Datza zawarcia umowy</t>
  </si>
  <si>
    <t>C50009280</t>
  </si>
  <si>
    <t>C50009290</t>
  </si>
  <si>
    <t>C500009300</t>
  </si>
  <si>
    <t>C500009360</t>
  </si>
  <si>
    <t>C500009370</t>
  </si>
  <si>
    <t>C500008960</t>
  </si>
  <si>
    <t>C500008950</t>
  </si>
  <si>
    <t>C500008970</t>
  </si>
  <si>
    <t>C500008980</t>
  </si>
  <si>
    <t>C500009030</t>
  </si>
  <si>
    <t>C500009070</t>
  </si>
  <si>
    <t>C500009310</t>
  </si>
  <si>
    <t>C500010440</t>
  </si>
  <si>
    <t>C500008990</t>
  </si>
  <si>
    <t>C500009490</t>
  </si>
  <si>
    <t>C500009480</t>
  </si>
  <si>
    <t>C500009470</t>
  </si>
  <si>
    <t>C500009450</t>
  </si>
  <si>
    <t>C500009420</t>
  </si>
  <si>
    <t>C500009380</t>
  </si>
  <si>
    <t>C500009350</t>
  </si>
  <si>
    <t>C500009320</t>
  </si>
  <si>
    <t>D/55/5E/12/000716</t>
  </si>
  <si>
    <t>01.05.2012</t>
  </si>
  <si>
    <t>D/55/5E/12/000717</t>
  </si>
  <si>
    <t>D/55/5E/12/000718</t>
  </si>
  <si>
    <t>D/55/5E/12/000715</t>
  </si>
  <si>
    <t>D/55/5E/14/000995</t>
  </si>
  <si>
    <t>10.07.2014</t>
  </si>
  <si>
    <t>D/55/5E/14/000985</t>
  </si>
  <si>
    <t>18.07.2014</t>
  </si>
  <si>
    <t>D/55/5E/13/000091</t>
  </si>
  <si>
    <t>01.05.2013</t>
  </si>
  <si>
    <t>D/55/5E/11/000105</t>
  </si>
  <si>
    <t>07.12.2011</t>
  </si>
  <si>
    <t>D/55/5E/11/000025</t>
  </si>
  <si>
    <t>22.04.2011</t>
  </si>
  <si>
    <t>D/55/5E/11/000027</t>
  </si>
  <si>
    <t>20.04.2011</t>
  </si>
  <si>
    <t>22.04.20011</t>
  </si>
  <si>
    <t>D/55/5E/13/000090</t>
  </si>
  <si>
    <t>PL0037550000160400</t>
  </si>
  <si>
    <t>KRAKUSA I WANDY</t>
  </si>
  <si>
    <t>47/1, 75</t>
  </si>
  <si>
    <t>04005467</t>
  </si>
  <si>
    <t>BUDYNEK UŻYTECZNOŚCI PUBLICZNEJ OKOPOWA</t>
  </si>
  <si>
    <t>PL0037550000094806</t>
  </si>
  <si>
    <t>OŚWIETLENIE ZAGOSPODAROWANIA TERENU MICKIEWICZA</t>
  </si>
  <si>
    <t>MICKIEWICZA</t>
  </si>
  <si>
    <t>PL0037550000148206</t>
  </si>
  <si>
    <t>Adres PPE</t>
  </si>
  <si>
    <t>kWh</t>
  </si>
  <si>
    <t>Łopuskiego</t>
  </si>
  <si>
    <t>480037550106805772</t>
  </si>
  <si>
    <t>210-450</t>
  </si>
  <si>
    <t>B21</t>
  </si>
  <si>
    <t>480037550106904590</t>
  </si>
  <si>
    <t>Śliwińskiego</t>
  </si>
  <si>
    <t>480037550000184584</t>
  </si>
  <si>
    <t>200-600</t>
  </si>
  <si>
    <t>Wąska</t>
  </si>
  <si>
    <t>480037550106529122</t>
  </si>
  <si>
    <t>480037550106498103</t>
  </si>
  <si>
    <t>Molo</t>
  </si>
  <si>
    <t>480037550106912472</t>
  </si>
  <si>
    <t>Aleja Nadmorska</t>
  </si>
  <si>
    <t>480037550106529223</t>
  </si>
  <si>
    <t>480037550107374133</t>
  </si>
  <si>
    <t xml:space="preserve">Miejski Ośrodek Sportu i Rekreacji </t>
  </si>
  <si>
    <t>671-15-98-590</t>
  </si>
  <si>
    <t>00407713</t>
  </si>
  <si>
    <t>00407721</t>
  </si>
  <si>
    <t>51/22,137/2,135</t>
  </si>
  <si>
    <t>00399593</t>
  </si>
  <si>
    <t>Pomnik +Ośw.</t>
  </si>
  <si>
    <t>0037702</t>
  </si>
  <si>
    <t>Bałtyk</t>
  </si>
  <si>
    <t>szczyt</t>
  </si>
  <si>
    <t>OŚWIETLENIE ZAGOSPODAROWANIA TERENU LAZUROWA</t>
  </si>
  <si>
    <t>LAZUROWA</t>
  </si>
  <si>
    <t>KUJAWSKA</t>
  </si>
  <si>
    <t>PL0037550000299300</t>
  </si>
  <si>
    <t>PL0037550000200704</t>
  </si>
  <si>
    <t>PL0037550000263209</t>
  </si>
  <si>
    <t>OŚWIETLENIE ZEWNĘTRZNE ZYGMUNTOWSKA</t>
  </si>
  <si>
    <t>10/3 OBR.2</t>
  </si>
  <si>
    <t>PL0037550000303409</t>
  </si>
  <si>
    <t>OŚWIETLENIE DOJŚCIA DO MORZA</t>
  </si>
  <si>
    <t xml:space="preserve">kolejna </t>
  </si>
  <si>
    <t>koniec obowiązywania  umowy SPRZEDAZY</t>
  </si>
  <si>
    <t>90581769</t>
  </si>
  <si>
    <t>00002758</t>
  </si>
  <si>
    <t>2  DZ.4/8</t>
  </si>
  <si>
    <t>60915299</t>
  </si>
  <si>
    <t>MIEJSKA BIBLIOTEKA PUBLICZNA</t>
  </si>
  <si>
    <t>BUDYNEK - FILIA NR 2</t>
  </si>
  <si>
    <t>671-020-03-03</t>
  </si>
  <si>
    <t>info@biblioteka.kolobrzeg.pl</t>
  </si>
  <si>
    <t>PIERWSZA</t>
  </si>
  <si>
    <t>ENERGA-OBRÓT SA</t>
  </si>
  <si>
    <t>OŚWIADCZENIE WOLI</t>
  </si>
  <si>
    <t>480037550106882362</t>
  </si>
  <si>
    <t>480037550106881049</t>
  </si>
  <si>
    <t>4A/2</t>
  </si>
  <si>
    <t>480037550108711723</t>
  </si>
  <si>
    <t>480037556108819736</t>
  </si>
  <si>
    <t>Kontener Ratowniczy</t>
  </si>
  <si>
    <t>Zasilenie plaży</t>
  </si>
  <si>
    <t>2133215</t>
  </si>
  <si>
    <t>pozaszczyt</t>
  </si>
  <si>
    <t>pozaszczytem</t>
  </si>
  <si>
    <t>PL0037550106495978</t>
  </si>
  <si>
    <t>91375178</t>
  </si>
  <si>
    <t>70091891</t>
  </si>
  <si>
    <t>14474258</t>
  </si>
  <si>
    <t>PL0037550108848129</t>
  </si>
  <si>
    <t>OŚWIETLENIE ZEWNĘTRZNE KUJAWSKA</t>
  </si>
  <si>
    <t>3. I .2018 r</t>
  </si>
  <si>
    <t>AMFITEATR</t>
  </si>
  <si>
    <t>FREDRY</t>
  </si>
  <si>
    <t>PL 0037550000095908</t>
  </si>
  <si>
    <t>CZARNICKIEGO</t>
  </si>
  <si>
    <t>5f/1</t>
  </si>
  <si>
    <t>PL 0037550108129622</t>
  </si>
  <si>
    <t>SZKOŁA PODSTAWOWA NR 1</t>
  </si>
  <si>
    <t>a.haraj@sp6kg.pl</t>
  </si>
  <si>
    <t>MAKUSZYŃSKIEGO</t>
  </si>
  <si>
    <t>strefa dzienna</t>
  </si>
  <si>
    <t>strefa nocna</t>
  </si>
  <si>
    <t>SZKOŁA PODSTAWOAWA NR 9</t>
  </si>
  <si>
    <t>Szacunkowe zużycie w okresie 01.05.2020 r. – 30.04.2021 r.</t>
  </si>
  <si>
    <t>PKN ORLEN SA</t>
  </si>
  <si>
    <t>DO 30 KWIETNIA 2019</t>
  </si>
  <si>
    <t>pierwsza</t>
  </si>
  <si>
    <t>JAGIELLOŃSKA</t>
  </si>
  <si>
    <t xml:space="preserve">ŚW. JANA PAWŁA II </t>
  </si>
  <si>
    <t>PL0037550000546307</t>
  </si>
  <si>
    <t>PL0037550000512305</t>
  </si>
  <si>
    <t>PL0037550000546400</t>
  </si>
  <si>
    <t>94118016</t>
  </si>
  <si>
    <t>BAŁTYCKA</t>
  </si>
  <si>
    <t>PL0037550000590600</t>
  </si>
  <si>
    <t>14351373</t>
  </si>
  <si>
    <t>CENTRUM PRZESIADKOWE/WC/OŚWIETLENIE</t>
  </si>
  <si>
    <t>JEDNOŚCI NARODOWEJ</t>
  </si>
  <si>
    <t>OŚWIETLENIE PROMENADY</t>
  </si>
  <si>
    <t>DZ. 8</t>
  </si>
  <si>
    <t>84271</t>
  </si>
  <si>
    <t>1116395</t>
  </si>
  <si>
    <t>GNIEŹNIEŃSKA</t>
  </si>
  <si>
    <t>OŚWIETLENIE UL.ICZNE</t>
  </si>
  <si>
    <t>PLAC REKREACYJNO-SPORTOWY</t>
  </si>
  <si>
    <t>ŻÓŁKIEWSKIEGO</t>
  </si>
  <si>
    <t>DZ. 8/20</t>
  </si>
  <si>
    <t>KAMERA MONITORINGU</t>
  </si>
  <si>
    <t>31A</t>
  </si>
  <si>
    <t>m.labedz@um.kolobrzeg.pl</t>
  </si>
  <si>
    <t>m.lukaszewiczc@um.kolobrzeg.pl</t>
  </si>
  <si>
    <t>m.sierzenga@um.kolobrzeg.pl</t>
  </si>
  <si>
    <t>480037550107509529</t>
  </si>
  <si>
    <t>sm@um.kolobrzeg.pl</t>
  </si>
  <si>
    <t>SYGNALIZACJA ŚWIETLNA</t>
  </si>
  <si>
    <t>480037550108400919</t>
  </si>
  <si>
    <t>DO 31 GRUDNIA 2019</t>
  </si>
  <si>
    <t>TELEBIM</t>
  </si>
  <si>
    <t>RODZIEWICZÓWNY</t>
  </si>
  <si>
    <t>PL0037550000060607</t>
  </si>
  <si>
    <t>SKWER</t>
  </si>
  <si>
    <t>PL0037550000147301</t>
  </si>
  <si>
    <t xml:space="preserve">ZWYCIĘZCÓW </t>
  </si>
  <si>
    <t>PL0037550000231400</t>
  </si>
  <si>
    <t>83786459</t>
  </si>
  <si>
    <t>1-3</t>
  </si>
  <si>
    <t>BEMA</t>
  </si>
  <si>
    <t>3</t>
  </si>
  <si>
    <t>480037550107848423</t>
  </si>
  <si>
    <t>83871308</t>
  </si>
  <si>
    <t>SZALET MIEJSKI</t>
  </si>
  <si>
    <t>KOLEJOWA</t>
  </si>
  <si>
    <t>03969447</t>
  </si>
  <si>
    <t>480037550108488219</t>
  </si>
  <si>
    <t>PPE</t>
  </si>
  <si>
    <t>K/55/L5/11/001836</t>
  </si>
  <si>
    <t>K/55/L5/15/000147</t>
  </si>
  <si>
    <t>K/55/L5/15/005441</t>
  </si>
  <si>
    <t>7U002927990</t>
  </si>
  <si>
    <t>7U002928305</t>
  </si>
  <si>
    <t>PL0037550000482402</t>
  </si>
  <si>
    <t>480037550108070008</t>
  </si>
  <si>
    <t>PUNKTY HANDLOWE</t>
  </si>
  <si>
    <t>SZYMAŃSKIEGO</t>
  </si>
  <si>
    <t>DZ. 1/5, 43/7, 5/8</t>
  </si>
  <si>
    <t>K/55/L5/16/001378</t>
  </si>
  <si>
    <t>ZASILENIE URZĄDZEŃ SSP I OŚWIETLENIE PRZEJAZDU</t>
  </si>
  <si>
    <t xml:space="preserve">43,17 linii 402 </t>
  </si>
  <si>
    <t>PL_PKPE_3208000122_04</t>
  </si>
  <si>
    <t xml:space="preserve">ES/15144/ESR14/k/2014 </t>
  </si>
  <si>
    <t>PKP Energetyka SA</t>
  </si>
  <si>
    <t>DZ. 5/8</t>
  </si>
  <si>
    <t>89300043</t>
  </si>
  <si>
    <t>BUDYNEK URZĘDU MIASTA STRAŻ MIEJSKA</t>
  </si>
  <si>
    <t>90649896</t>
  </si>
  <si>
    <t>PL 0037550108214700</t>
  </si>
  <si>
    <t>SZKOŁA PODSTAWOWA NR 3</t>
  </si>
  <si>
    <t>480037550107199028</t>
  </si>
  <si>
    <t>0352075</t>
  </si>
  <si>
    <t>wypowiedzenie umowy kompleksowej</t>
  </si>
  <si>
    <t>ENERGA OBRÓT SA</t>
  </si>
  <si>
    <t>10 PPE</t>
  </si>
  <si>
    <t>62 PPE</t>
  </si>
  <si>
    <t>Kod PPE (numer z faktury)</t>
  </si>
  <si>
    <t>Taryfa zakupowa - grupa taryfowa</t>
  </si>
  <si>
    <t>umowa zawarta _podać do kiedy</t>
  </si>
  <si>
    <t>671-00-11-163</t>
  </si>
  <si>
    <t xml:space="preserve">Solna </t>
  </si>
  <si>
    <t>komunikacja@km.kolobrzeg.pl</t>
  </si>
  <si>
    <t>Baza</t>
  </si>
  <si>
    <t>480037550107197210</t>
  </si>
  <si>
    <t>88057689</t>
  </si>
  <si>
    <t>Kiosk  Sprzedaży Biletów</t>
  </si>
  <si>
    <t>Jagiellońska</t>
  </si>
  <si>
    <t>480037550106740704</t>
  </si>
  <si>
    <t>03997531</t>
  </si>
  <si>
    <t>Grochowska</t>
  </si>
  <si>
    <t>480037550107663416</t>
  </si>
  <si>
    <t>83676730</t>
  </si>
  <si>
    <t>Tablica Informacji Pasażerskiej</t>
  </si>
  <si>
    <t>Jana Pawła II  Policja</t>
  </si>
  <si>
    <t>480037550108712228</t>
  </si>
  <si>
    <t>80800213</t>
  </si>
  <si>
    <t>Jana Pawła II  Skwer</t>
  </si>
  <si>
    <t>480037550108690000</t>
  </si>
  <si>
    <t>80501999</t>
  </si>
  <si>
    <t>Jana Pawła II  Graniczna</t>
  </si>
  <si>
    <t>480037550108842368</t>
  </si>
  <si>
    <t>00159500</t>
  </si>
  <si>
    <t>Armii Krajowej  Poczta</t>
  </si>
  <si>
    <t>480037550108690202</t>
  </si>
  <si>
    <t>80502016</t>
  </si>
  <si>
    <t>Solna</t>
  </si>
  <si>
    <t>Bałtycka Zarząd Portu</t>
  </si>
  <si>
    <t>480037550108842873</t>
  </si>
  <si>
    <t>00160177</t>
  </si>
  <si>
    <t>480037550108690303</t>
  </si>
  <si>
    <t>80501956</t>
  </si>
  <si>
    <t>480037550108690404</t>
  </si>
  <si>
    <t>80501978</t>
  </si>
  <si>
    <t>Koszalińska</t>
  </si>
  <si>
    <t>480037550108842671</t>
  </si>
  <si>
    <t>00126505</t>
  </si>
  <si>
    <t>Młyńska Kaufland</t>
  </si>
  <si>
    <t>480037550108842772</t>
  </si>
  <si>
    <t>00053377</t>
  </si>
  <si>
    <t>Łopuskiego Szpital</t>
  </si>
  <si>
    <t>480037550108842570</t>
  </si>
  <si>
    <t>67412</t>
  </si>
  <si>
    <t>Jedności Narodowej</t>
  </si>
  <si>
    <t>480037550108842469</t>
  </si>
  <si>
    <t>00149111</t>
  </si>
  <si>
    <t>Starynowska</t>
  </si>
  <si>
    <t>480037550108840752</t>
  </si>
  <si>
    <t>kW</t>
  </si>
  <si>
    <t>SZKOŁA PODSTAWOWA NR 7</t>
  </si>
  <si>
    <t>1A</t>
  </si>
  <si>
    <t>e.turowski@sp7kg.pl</t>
  </si>
  <si>
    <t>PL0037550103826155</t>
  </si>
  <si>
    <t>58003384</t>
  </si>
  <si>
    <t>MAJ</t>
  </si>
  <si>
    <t>CZERWIEC</t>
  </si>
  <si>
    <t>LIPIEC</t>
  </si>
  <si>
    <t>SIERPIEŃ</t>
  </si>
  <si>
    <t>WRZESIEŃ</t>
  </si>
  <si>
    <t>PAŹDZIERNIK</t>
  </si>
  <si>
    <t>LISTOPAD</t>
  </si>
  <si>
    <t>14 PPE</t>
  </si>
  <si>
    <t>1 PPE</t>
  </si>
  <si>
    <t>liczba PPE</t>
  </si>
  <si>
    <t>DŹWIGI OSOBOWE</t>
  </si>
  <si>
    <t>KOLEJOWA /ZDROJOWA</t>
  </si>
  <si>
    <t>480037550000024132</t>
  </si>
  <si>
    <t>70681658</t>
  </si>
  <si>
    <t>480037550108740722</t>
  </si>
  <si>
    <t>00148480</t>
  </si>
  <si>
    <t>480037550108807006</t>
  </si>
  <si>
    <t>80830646</t>
  </si>
  <si>
    <t>KOSZALIŃSKA</t>
  </si>
  <si>
    <t>GRANICZNA</t>
  </si>
  <si>
    <t>7-100</t>
  </si>
  <si>
    <t>94494838</t>
  </si>
  <si>
    <t>GEN. WŁ. SIKORSKIEGO</t>
  </si>
  <si>
    <t>GEN. WŁ. SIKORSKIEGO/KORTY</t>
  </si>
  <si>
    <t>GEN. WŁ. SIKORSKIEGO/FREDRY</t>
  </si>
  <si>
    <t>BRAK</t>
  </si>
  <si>
    <t>26/1/K-IO/2018</t>
  </si>
  <si>
    <t>NA CZAS NIEOKREŚLONY</t>
  </si>
  <si>
    <t>Komunikacja Miejska w Kołobrzegu</t>
  </si>
  <si>
    <t>ZESPÓŁ OBIEKTÓW</t>
  </si>
  <si>
    <t>HALA SPORTOWA</t>
  </si>
  <si>
    <t>30 KWIETNIA 2019</t>
  </si>
  <si>
    <t>PL0037550000163509</t>
  </si>
  <si>
    <t>89299859</t>
  </si>
  <si>
    <t>DZ. 4/8</t>
  </si>
  <si>
    <t>89300273</t>
  </si>
  <si>
    <t>PL0037550107756170</t>
  </si>
  <si>
    <t>ZESPÓŁ PARKINGÓW - OŚWIETLENIE ZEWNETRZNE</t>
  </si>
  <si>
    <t>JANA KASPROWICZA</t>
  </si>
  <si>
    <t>95/4,95/5,95/6</t>
  </si>
  <si>
    <t>PL00375500006301405</t>
  </si>
  <si>
    <t>OBWODNICA RONDO JANISKA</t>
  </si>
  <si>
    <t xml:space="preserve">OŚWIETLENIE DROGOWE </t>
  </si>
  <si>
    <t>PL00375500006370803</t>
  </si>
  <si>
    <t>7U003430918</t>
  </si>
  <si>
    <t>DO 30 KWIETNIA 2020</t>
  </si>
  <si>
    <t>91389287</t>
  </si>
  <si>
    <t>91459558</t>
  </si>
  <si>
    <t>14461552</t>
  </si>
  <si>
    <t>70346018</t>
  </si>
  <si>
    <t>91460512</t>
  </si>
  <si>
    <t>91459198</t>
  </si>
  <si>
    <t>91388676</t>
  </si>
  <si>
    <t>91241445</t>
  </si>
  <si>
    <t>91241434</t>
  </si>
  <si>
    <t>72302590</t>
  </si>
  <si>
    <t>94494836</t>
  </si>
  <si>
    <t>89299899</t>
  </si>
  <si>
    <t>95673781</t>
  </si>
  <si>
    <t>93731661</t>
  </si>
  <si>
    <t>93730194</t>
  </si>
  <si>
    <t>70128180</t>
  </si>
  <si>
    <t>14407017</t>
  </si>
  <si>
    <t>71414688</t>
  </si>
  <si>
    <t>71414338</t>
  </si>
  <si>
    <t>93853592</t>
  </si>
  <si>
    <t>70211225</t>
  </si>
  <si>
    <t>93860109</t>
  </si>
  <si>
    <t>93854077</t>
  </si>
  <si>
    <t>89144636</t>
  </si>
  <si>
    <t>93860112</t>
  </si>
  <si>
    <t>93860096</t>
  </si>
  <si>
    <t>93853241</t>
  </si>
  <si>
    <t>91388609</t>
  </si>
  <si>
    <t>91243719</t>
  </si>
  <si>
    <t>89300163</t>
  </si>
  <si>
    <t>71414672</t>
  </si>
  <si>
    <t>89144507</t>
  </si>
  <si>
    <t>91241861</t>
  </si>
  <si>
    <t>95673788</t>
  </si>
  <si>
    <t>71485875</t>
  </si>
  <si>
    <t>ZARZĄD OSIEDLA NR 3</t>
  </si>
  <si>
    <t>1/14</t>
  </si>
  <si>
    <t>671-16-98-542</t>
  </si>
  <si>
    <t>671-16-98-543</t>
  </si>
  <si>
    <t>Razem</t>
  </si>
  <si>
    <t>Szacunkowe zużycie w okresie 01.05.2021 r. – 30.04.2022 r.</t>
  </si>
  <si>
    <t>88055088</t>
  </si>
  <si>
    <t>96432345</t>
  </si>
  <si>
    <t>93691017</t>
  </si>
  <si>
    <t>96562003</t>
  </si>
  <si>
    <t>43135472</t>
  </si>
  <si>
    <t>91243674</t>
  </si>
  <si>
    <t>03932153</t>
  </si>
  <si>
    <t>PL00375501066454148</t>
  </si>
  <si>
    <t>95430283</t>
  </si>
  <si>
    <t>C12</t>
  </si>
  <si>
    <t>obr.19, dz. nr 20/1</t>
  </si>
  <si>
    <t>Rzaem</t>
  </si>
  <si>
    <t>PL0037550000771006</t>
  </si>
  <si>
    <t>OŚWIETLENIE ZEWNETRZNE - PODWÓRKO</t>
  </si>
  <si>
    <t>AL..ŚW. JANA PAWŁA II</t>
  </si>
  <si>
    <t>DZ. 192/9</t>
  </si>
  <si>
    <t>PL0037550000569003</t>
  </si>
  <si>
    <t>480037550108807107</t>
  </si>
  <si>
    <t>KOSZALIŃSKA (JW)</t>
  </si>
  <si>
    <t>95673786</t>
  </si>
  <si>
    <t>czerwiec lipiec sierpień</t>
  </si>
  <si>
    <t>01254089</t>
  </si>
  <si>
    <t>94542109</t>
  </si>
  <si>
    <t>03932857</t>
  </si>
  <si>
    <t>91498563</t>
  </si>
  <si>
    <t>70197565</t>
  </si>
  <si>
    <t>94785</t>
  </si>
  <si>
    <t>03932862</t>
  </si>
  <si>
    <t>3933314</t>
  </si>
  <si>
    <t>95294</t>
  </si>
  <si>
    <t>3933445</t>
  </si>
  <si>
    <t>88057384</t>
  </si>
  <si>
    <t>58006352</t>
  </si>
  <si>
    <t>58003372</t>
  </si>
  <si>
    <t>01197482</t>
  </si>
  <si>
    <t>ilość PPE</t>
  </si>
  <si>
    <t>480037550106806883</t>
  </si>
  <si>
    <t>01353965</t>
  </si>
  <si>
    <t>14458241</t>
  </si>
  <si>
    <t>94638495</t>
  </si>
  <si>
    <t>SZCZYT</t>
  </si>
  <si>
    <t>P-SZCZYT</t>
  </si>
  <si>
    <t>DZIEŃ</t>
  </si>
  <si>
    <t>NOC</t>
  </si>
  <si>
    <t>OŚWIETLENIE</t>
  </si>
  <si>
    <t>BUDYNKI</t>
  </si>
  <si>
    <t>FONTANNY</t>
  </si>
  <si>
    <t>LOKALOWE WC</t>
  </si>
  <si>
    <t>SM</t>
  </si>
  <si>
    <t>DROGOWE</t>
  </si>
  <si>
    <t>RAZEM</t>
  </si>
  <si>
    <t>SZKOŁY</t>
  </si>
  <si>
    <t>GMK GMINA MIASTO KOŁOBRZEG</t>
  </si>
  <si>
    <t>PRZEDSZKOLA-ŻŁOBEK</t>
  </si>
  <si>
    <t>MOPS</t>
  </si>
  <si>
    <t>MOSiR</t>
  </si>
  <si>
    <t xml:space="preserve">GMK </t>
  </si>
  <si>
    <t>GMK J ORG</t>
  </si>
  <si>
    <t>RAZEM GMKG</t>
  </si>
  <si>
    <t>Do umowy</t>
  </si>
  <si>
    <t>grupa taryfowa</t>
  </si>
  <si>
    <t>BIBLIOTEKA MIEJSKA</t>
  </si>
  <si>
    <t>REGIONALNE CENTRUM KULTURY</t>
  </si>
  <si>
    <t>KOMUNIKACJA MIEJSKA</t>
  </si>
  <si>
    <t>OGÓŁEM PRZETARG</t>
  </si>
  <si>
    <t>WAG</t>
  </si>
  <si>
    <t>GKL</t>
  </si>
  <si>
    <t>GKL D</t>
  </si>
  <si>
    <t>WŚiO.VIII</t>
  </si>
  <si>
    <t>Szkoły</t>
  </si>
  <si>
    <t>Przedszkola</t>
  </si>
  <si>
    <t>netto</t>
  </si>
  <si>
    <t>od 1 stycznia 2020 r.</t>
  </si>
  <si>
    <t>brutto</t>
  </si>
  <si>
    <t xml:space="preserve"> 31 GRUDNIA 2020</t>
  </si>
  <si>
    <t>DO 31 GRUDNIA 2020</t>
  </si>
  <si>
    <t>NA CZAS OKRESLONY</t>
  </si>
  <si>
    <t>NA CZAS NIEOKEŚLONY</t>
  </si>
  <si>
    <t>30 KWIETNIA 2020</t>
  </si>
  <si>
    <t>nie dotyczy</t>
  </si>
  <si>
    <t>sezonowa</t>
  </si>
  <si>
    <t>PKN ORLEN SA umowa sezonowa</t>
  </si>
  <si>
    <t>a.kusnierek@um.kolobrzeg.pl</t>
  </si>
  <si>
    <t>SZKOŁA PODSTAWOWA NR 6 BUDYNEK</t>
  </si>
  <si>
    <t>SZKOŁA PODSTAWOWA NR 6BUDYNEK</t>
  </si>
  <si>
    <r>
      <t xml:space="preserve">SZKOŁA PODSTAWOWA NR 6 </t>
    </r>
    <r>
      <rPr>
        <sz val="9"/>
        <rFont val="Calibri"/>
        <family val="2"/>
        <charset val="238"/>
      </rPr>
      <t>PUNKT PRZEDSZKOLNY</t>
    </r>
  </si>
  <si>
    <t>SZKOŁA PODSTAWOWA NR 6 Boisko "ORLIK"</t>
  </si>
  <si>
    <t>SZKOŁA PODSTAWOWA NR 5 ZESPÓŁ BOISK</t>
  </si>
  <si>
    <t>SZKOŁA PODSTAWOWA NR 5 BUDYNEK</t>
  </si>
  <si>
    <t>SZKOŁA PODSTAWOWA NR 4 BUDYNEK</t>
  </si>
  <si>
    <t>SZKOŁA PODSTAWOWA NR 8 BUDYNEK</t>
  </si>
  <si>
    <t>SZKOŁA PODSTAWOWA NR 1 BUDYNEK</t>
  </si>
  <si>
    <t>SZKOŁA PODSTAWOAWA NR 9 BUDYNEK</t>
  </si>
  <si>
    <t>SZKOŁA PODSTAWOWA NR 3 BUDYNEK</t>
  </si>
  <si>
    <t>SZKOŁA PODSTAWOWA NR 3 SALA SPORTOWA</t>
  </si>
  <si>
    <t xml:space="preserve">SZKOŁA PODSTAWOWA NR 7 BUDYNEK </t>
  </si>
  <si>
    <t>OŚWIETLENIE ZEWNETRZNE - PARKING</t>
  </si>
  <si>
    <t>DZ. 12/7</t>
  </si>
  <si>
    <t>PL0037550000773604</t>
  </si>
  <si>
    <t>RADOMSKA</t>
  </si>
  <si>
    <t>NIE NADANO NUMERU</t>
  </si>
  <si>
    <t>BRAK UMOWY</t>
  </si>
  <si>
    <t>BRAK SPRZEDAWCY</t>
  </si>
  <si>
    <t>PRZEDSZKOLE MIEJSKIE BRAK NUMERU</t>
  </si>
  <si>
    <t>60848329</t>
  </si>
  <si>
    <t>plus 20%</t>
  </si>
  <si>
    <t>PL0037550000630001</t>
  </si>
  <si>
    <t>WC Kasprowicza parking</t>
  </si>
  <si>
    <t>13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</si>
</sst>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0\ &quot;zł&quot;"/>
    <numFmt numFmtId="166" formatCode="#,##0.00&quot; &quot;[$zł-415];[Red]&quot;-&quot;#,##0.00&quot; &quot;[$zł-415]"/>
    <numFmt numFmtId="167" formatCode="#,##0.0000\ &quot;zł&quot;"/>
    <numFmt numFmtId="168" formatCode="#,##0.00\ _z_ł"/>
    <numFmt numFmtId="169" formatCode="[$€-2]\ #,##0.00"/>
  </numFmts>
  <fonts count="87"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8"/>
      <name val="Czcionka tekstu podstawowego"/>
      <family val="2"/>
      <charset val="238"/>
    </font>
    <font>
      <sz val="10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indexed="10"/>
      <name val="Calibri"/>
      <family val="2"/>
      <charset val="238"/>
    </font>
    <font>
      <u/>
      <sz val="11"/>
      <color indexed="12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name val="Czcionka tekstu podstawowego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10"/>
      <color indexed="8"/>
      <name val="Arial"/>
      <family val="2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800080"/>
      <name val="Czcionka tekstu podstawowego"/>
      <charset val="238"/>
    </font>
    <font>
      <b/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008000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333399"/>
      <name val="Czcionka tekstu podstawowego"/>
      <charset val="238"/>
    </font>
    <font>
      <sz val="11"/>
      <color rgb="FFFF9900"/>
      <name val="Czcionka tekstu podstawowego"/>
      <charset val="238"/>
    </font>
    <font>
      <sz val="11"/>
      <color rgb="FF993300"/>
      <name val="Czcionka tekstu podstawowego"/>
      <charset val="238"/>
    </font>
    <font>
      <sz val="11"/>
      <color rgb="FF000000"/>
      <name val="Arial"/>
      <family val="2"/>
      <charset val="238"/>
    </font>
    <font>
      <b/>
      <sz val="11"/>
      <color rgb="FF333333"/>
      <name val="Czcionka tekstu podstawowego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zcionka tekstu podstawowego"/>
      <charset val="238"/>
    </font>
    <font>
      <sz val="11"/>
      <color rgb="FFFF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1"/>
      <color rgb="FF0000FF"/>
      <name val="Calibri"/>
      <family val="2"/>
      <charset val="238"/>
      <scheme val="minor"/>
    </font>
    <font>
      <sz val="11"/>
      <color rgb="FF0000FF"/>
      <name val="Czcionka tekstu podstawowego"/>
      <family val="2"/>
      <charset val="238"/>
    </font>
    <font>
      <sz val="11"/>
      <color rgb="FF0000FF"/>
      <name val="Czcionka tekstu podstawowego"/>
      <charset val="238"/>
    </font>
    <font>
      <sz val="10"/>
      <color rgb="FF0000FF"/>
      <name val="Calibri"/>
      <family val="2"/>
      <charset val="238"/>
    </font>
    <font>
      <b/>
      <sz val="11"/>
      <name val="Czcionka tekstu podstawowego"/>
      <family val="2"/>
      <charset val="238"/>
    </font>
    <font>
      <b/>
      <sz val="10"/>
      <name val="Calibri"/>
      <family val="2"/>
      <charset val="238"/>
    </font>
    <font>
      <b/>
      <sz val="11"/>
      <name val="Czcionka tekstu podstawowego"/>
      <charset val="238"/>
    </font>
    <font>
      <sz val="10"/>
      <color rgb="FF7030A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Czcionka tekstu podstawowego"/>
      <family val="2"/>
      <charset val="238"/>
    </font>
    <font>
      <sz val="10"/>
      <color indexed="8"/>
      <name val="Cambria"/>
      <family val="1"/>
      <charset val="238"/>
      <scheme val="major"/>
    </font>
    <font>
      <sz val="9"/>
      <color indexed="8"/>
      <name val="Czcionka tekstu podstawowego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indexed="8"/>
      <name val="Czcionka tekstu podstawowego"/>
      <family val="2"/>
      <charset val="238"/>
    </font>
    <font>
      <b/>
      <sz val="10"/>
      <color rgb="FF0000FF"/>
      <name val="Calibri"/>
      <family val="2"/>
      <charset val="238"/>
    </font>
    <font>
      <b/>
      <sz val="10"/>
      <color rgb="FF0000FF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u/>
      <sz val="10"/>
      <color theme="10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rgb="FF00B050"/>
      <name val="Calibri"/>
      <family val="2"/>
      <charset val="238"/>
    </font>
    <font>
      <sz val="10"/>
      <color rgb="FF00B050"/>
      <name val="Calibri"/>
      <family val="2"/>
      <charset val="238"/>
      <scheme val="minor"/>
    </font>
    <font>
      <sz val="8"/>
      <color rgb="FF00B050"/>
      <name val="Czcionka tekstu podstawowego"/>
      <family val="2"/>
      <charset val="238"/>
    </font>
    <font>
      <sz val="11"/>
      <color rgb="FF00B050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8"/>
      <color rgb="FF7030A0"/>
      <name val="Czcionka tekstu podstawowego"/>
      <family val="2"/>
      <charset val="238"/>
    </font>
    <font>
      <sz val="11"/>
      <name val="Czcionka tekstu podstawowego"/>
      <charset val="238"/>
    </font>
    <font>
      <b/>
      <sz val="11"/>
      <color rgb="FF0000FF"/>
      <name val="Czcionka tekstu podstawowego"/>
      <charset val="238"/>
    </font>
    <font>
      <sz val="11"/>
      <color indexed="8"/>
      <name val="Czcionka tekstu podstawowego"/>
      <charset val="238"/>
    </font>
    <font>
      <b/>
      <sz val="11"/>
      <color rgb="FF7030A0"/>
      <name val="Czcionka tekstu podstawowego"/>
      <charset val="238"/>
    </font>
    <font>
      <b/>
      <sz val="12"/>
      <color rgb="FF7030A0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1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9">
    <xf numFmtId="0" fontId="0" fillId="0" borderId="0">
      <alignment vertical="top"/>
    </xf>
    <xf numFmtId="0" fontId="20" fillId="9" borderId="0" applyNumberFormat="0" applyBorder="0" applyProtection="0"/>
    <xf numFmtId="0" fontId="20" fillId="10" borderId="0" applyNumberFormat="0" applyBorder="0" applyProtection="0"/>
    <xf numFmtId="0" fontId="20" fillId="11" borderId="0" applyNumberFormat="0" applyBorder="0" applyProtection="0"/>
    <xf numFmtId="0" fontId="20" fillId="12" borderId="0" applyNumberFormat="0" applyBorder="0" applyProtection="0"/>
    <xf numFmtId="0" fontId="20" fillId="1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0" fillId="17" borderId="0" applyNumberFormat="0" applyBorder="0" applyProtection="0"/>
    <xf numFmtId="0" fontId="20" fillId="12" borderId="0" applyNumberFormat="0" applyBorder="0" applyProtection="0"/>
    <xf numFmtId="0" fontId="20" fillId="15" borderId="0" applyNumberFormat="0" applyBorder="0" applyProtection="0"/>
    <xf numFmtId="0" fontId="20" fillId="18" borderId="0" applyNumberFormat="0" applyBorder="0" applyProtection="0"/>
    <xf numFmtId="0" fontId="21" fillId="19" borderId="0" applyNumberFormat="0" applyBorder="0" applyProtection="0"/>
    <xf numFmtId="0" fontId="21" fillId="16" borderId="0" applyNumberFormat="0" applyBorder="0" applyProtection="0"/>
    <xf numFmtId="0" fontId="21" fillId="17" borderId="0" applyNumberFormat="0" applyBorder="0" applyProtection="0"/>
    <xf numFmtId="0" fontId="21" fillId="20" borderId="0" applyNumberFormat="0" applyBorder="0" applyProtection="0"/>
    <xf numFmtId="0" fontId="21" fillId="21" borderId="0" applyNumberFormat="0" applyBorder="0" applyProtection="0"/>
    <xf numFmtId="0" fontId="21" fillId="22" borderId="0" applyNumberFormat="0" applyBorder="0" applyProtection="0"/>
    <xf numFmtId="0" fontId="21" fillId="23" borderId="0" applyNumberFormat="0" applyBorder="0" applyProtection="0"/>
    <xf numFmtId="0" fontId="21" fillId="24" borderId="0" applyNumberFormat="0" applyBorder="0" applyProtection="0"/>
    <xf numFmtId="0" fontId="21" fillId="25" borderId="0" applyNumberFormat="0" applyBorder="0" applyProtection="0"/>
    <xf numFmtId="0" fontId="21" fillId="20" borderId="0" applyNumberFormat="0" applyBorder="0" applyProtection="0"/>
    <xf numFmtId="0" fontId="21" fillId="21" borderId="0" applyNumberFormat="0" applyBorder="0" applyProtection="0"/>
    <xf numFmtId="0" fontId="21" fillId="26" borderId="0" applyNumberFormat="0" applyBorder="0" applyProtection="0"/>
    <xf numFmtId="0" fontId="22" fillId="10" borderId="0" applyNumberFormat="0" applyBorder="0" applyProtection="0"/>
    <xf numFmtId="0" fontId="23" fillId="14" borderId="30" applyNumberFormat="0" applyProtection="0"/>
    <xf numFmtId="0" fontId="24" fillId="27" borderId="31" applyNumberFormat="0" applyProtection="0"/>
    <xf numFmtId="0" fontId="25" fillId="0" borderId="0" applyNumberFormat="0" applyBorder="0" applyProtection="0"/>
    <xf numFmtId="0" fontId="26" fillId="11" borderId="0" applyNumberFormat="0" applyBorder="0" applyProtection="0"/>
    <xf numFmtId="0" fontId="27" fillId="0" borderId="32" applyNumberFormat="0" applyProtection="0"/>
    <xf numFmtId="0" fontId="28" fillId="0" borderId="33" applyNumberFormat="0" applyProtection="0"/>
    <xf numFmtId="0" fontId="29" fillId="0" borderId="34" applyNumberFormat="0" applyProtection="0"/>
    <xf numFmtId="0" fontId="29" fillId="0" borderId="0" applyNumberFormat="0" applyBorder="0" applyProtection="0"/>
    <xf numFmtId="0" fontId="30" fillId="14" borderId="30" applyNumberFormat="0" applyProtection="0"/>
    <xf numFmtId="0" fontId="31" fillId="0" borderId="35" applyNumberFormat="0" applyProtection="0"/>
    <xf numFmtId="0" fontId="32" fillId="28" borderId="0" applyNumberFormat="0" applyBorder="0" applyProtection="0"/>
    <xf numFmtId="0" fontId="33" fillId="29" borderId="36" applyNumberFormat="0" applyFont="0" applyProtection="0"/>
    <xf numFmtId="0" fontId="34" fillId="14" borderId="37" applyNumberFormat="0" applyProtection="0"/>
    <xf numFmtId="0" fontId="35" fillId="0" borderId="0" applyNumberFormat="0" applyBorder="0" applyProtection="0"/>
    <xf numFmtId="0" fontId="36" fillId="0" borderId="38" applyNumberFormat="0" applyProtection="0"/>
    <xf numFmtId="0" fontId="37" fillId="0" borderId="0" applyNumberFormat="0" applyBorder="0" applyProtection="0"/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9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9" fillId="0" borderId="0" applyNumberFormat="0" applyBorder="0" applyProtection="0"/>
    <xf numFmtId="166" fontId="39" fillId="0" borderId="0" applyBorder="0" applyProtection="0"/>
    <xf numFmtId="0" fontId="65" fillId="0" borderId="0" applyNumberFormat="0" applyFill="0" applyBorder="0" applyAlignment="0" applyProtection="0">
      <alignment vertical="top"/>
      <protection locked="0"/>
    </xf>
  </cellStyleXfs>
  <cellXfs count="575"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0" fontId="2" fillId="0" borderId="4" xfId="0" applyFont="1" applyBorder="1" applyAlignment="1"/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Alignment="1"/>
    <xf numFmtId="0" fontId="0" fillId="0" borderId="0" xfId="0" applyBorder="1" applyAlignment="1"/>
    <xf numFmtId="0" fontId="2" fillId="0" borderId="0" xfId="0" applyFont="1" applyFill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>
      <alignment vertical="top"/>
    </xf>
    <xf numFmtId="0" fontId="7" fillId="0" borderId="0" xfId="0" applyFont="1" applyAlignment="1"/>
    <xf numFmtId="0" fontId="8" fillId="0" borderId="0" xfId="0" applyFont="1" applyBorder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/>
    <xf numFmtId="0" fontId="6" fillId="2" borderId="5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Fill="1" applyAlignment="1"/>
    <xf numFmtId="49" fontId="2" fillId="0" borderId="0" xfId="0" applyNumberFormat="1" applyFont="1" applyFill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/>
    <xf numFmtId="0" fontId="6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/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/>
    <xf numFmtId="0" fontId="6" fillId="6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49" fontId="2" fillId="6" borderId="11" xfId="0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/>
    <xf numFmtId="0" fontId="2" fillId="6" borderId="17" xfId="0" applyFont="1" applyFill="1" applyBorder="1" applyAlignment="1">
      <alignment horizontal="center" vertical="center" wrapText="1"/>
    </xf>
    <xf numFmtId="49" fontId="2" fillId="6" borderId="16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49" fontId="2" fillId="4" borderId="7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/>
    <xf numFmtId="0" fontId="1" fillId="0" borderId="0" xfId="0" applyFont="1" applyAlignment="1"/>
    <xf numFmtId="0" fontId="6" fillId="4" borderId="0" xfId="0" applyFont="1" applyFill="1" applyAlignment="1"/>
    <xf numFmtId="0" fontId="10" fillId="0" borderId="0" xfId="0" applyFont="1" applyAlignment="1"/>
    <xf numFmtId="0" fontId="10" fillId="0" borderId="0" xfId="0" applyFont="1" applyFill="1" applyAlignment="1">
      <alignment horizontal="center" vertical="center"/>
    </xf>
    <xf numFmtId="0" fontId="2" fillId="30" borderId="1" xfId="0" applyFont="1" applyFill="1" applyBorder="1" applyAlignment="1">
      <alignment horizontal="center" vertical="center" wrapText="1"/>
    </xf>
    <xf numFmtId="0" fontId="2" fillId="30" borderId="3" xfId="0" applyFont="1" applyFill="1" applyBorder="1" applyAlignment="1"/>
    <xf numFmtId="0" fontId="2" fillId="30" borderId="2" xfId="0" applyFont="1" applyFill="1" applyBorder="1" applyAlignment="1">
      <alignment horizontal="center" vertical="center" wrapText="1"/>
    </xf>
    <xf numFmtId="0" fontId="2" fillId="30" borderId="4" xfId="0" applyFont="1" applyFill="1" applyBorder="1" applyAlignment="1"/>
    <xf numFmtId="0" fontId="2" fillId="30" borderId="1" xfId="0" applyFont="1" applyFill="1" applyBorder="1" applyAlignment="1"/>
    <xf numFmtId="0" fontId="2" fillId="31" borderId="1" xfId="0" applyFont="1" applyFill="1" applyBorder="1" applyAlignment="1">
      <alignment horizontal="center" vertical="center" wrapText="1"/>
    </xf>
    <xf numFmtId="0" fontId="2" fillId="31" borderId="3" xfId="0" applyFont="1" applyFill="1" applyBorder="1" applyAlignment="1"/>
    <xf numFmtId="0" fontId="2" fillId="31" borderId="4" xfId="0" applyFont="1" applyFill="1" applyBorder="1" applyAlignment="1"/>
    <xf numFmtId="0" fontId="2" fillId="31" borderId="2" xfId="0" applyFont="1" applyFill="1" applyBorder="1" applyAlignment="1">
      <alignment horizontal="center" vertical="center" wrapText="1"/>
    </xf>
    <xf numFmtId="0" fontId="2" fillId="31" borderId="0" xfId="0" applyFont="1" applyFill="1" applyAlignment="1"/>
    <xf numFmtId="0" fontId="6" fillId="31" borderId="1" xfId="0" applyFont="1" applyFill="1" applyBorder="1" applyAlignment="1">
      <alignment horizontal="center" vertical="center" wrapText="1"/>
    </xf>
    <xf numFmtId="164" fontId="2" fillId="31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3" borderId="4" xfId="0" applyFont="1" applyFill="1" applyBorder="1" applyAlignment="1"/>
    <xf numFmtId="0" fontId="6" fillId="4" borderId="4" xfId="0" applyFont="1" applyFill="1" applyBorder="1" applyAlignment="1"/>
    <xf numFmtId="0" fontId="12" fillId="7" borderId="1" xfId="0" applyFont="1" applyFill="1" applyBorder="1">
      <alignment vertical="top"/>
    </xf>
    <xf numFmtId="0" fontId="12" fillId="7" borderId="0" xfId="0" applyFont="1" applyFill="1">
      <alignment vertical="top"/>
    </xf>
    <xf numFmtId="0" fontId="6" fillId="6" borderId="16" xfId="0" applyFont="1" applyFill="1" applyBorder="1" applyAlignment="1"/>
    <xf numFmtId="0" fontId="6" fillId="4" borderId="7" xfId="0" applyFont="1" applyFill="1" applyBorder="1" applyAlignment="1"/>
    <xf numFmtId="49" fontId="6" fillId="32" borderId="1" xfId="0" applyNumberFormat="1" applyFont="1" applyFill="1" applyBorder="1" applyAlignment="1">
      <alignment horizontal="center" vertical="center" wrapText="1"/>
    </xf>
    <xf numFmtId="49" fontId="6" fillId="32" borderId="0" xfId="0" applyNumberFormat="1" applyFont="1" applyFill="1" applyAlignment="1">
      <alignment horizontal="center"/>
    </xf>
    <xf numFmtId="0" fontId="2" fillId="0" borderId="20" xfId="0" applyFont="1" applyBorder="1" applyAlignment="1"/>
    <xf numFmtId="49" fontId="2" fillId="0" borderId="2" xfId="0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/>
    <xf numFmtId="0" fontId="40" fillId="0" borderId="1" xfId="0" applyFont="1" applyBorder="1" applyAlignment="1">
      <alignment horizontal="center"/>
    </xf>
    <xf numFmtId="0" fontId="41" fillId="0" borderId="1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2" fillId="0" borderId="1" xfId="0" applyFont="1" applyBorder="1" applyAlignment="1"/>
    <xf numFmtId="0" fontId="2" fillId="3" borderId="10" xfId="0" applyFont="1" applyFill="1" applyBorder="1" applyAlignment="1"/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/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9" fillId="0" borderId="0" xfId="44" applyAlignment="1" applyProtection="1"/>
    <xf numFmtId="0" fontId="13" fillId="7" borderId="0" xfId="44" applyFont="1" applyFill="1" applyProtection="1">
      <alignment vertical="top"/>
    </xf>
    <xf numFmtId="0" fontId="13" fillId="2" borderId="1" xfId="44" applyFont="1" applyFill="1" applyBorder="1" applyAlignment="1" applyProtection="1"/>
    <xf numFmtId="0" fontId="13" fillId="2" borderId="2" xfId="44" applyFont="1" applyFill="1" applyBorder="1" applyAlignment="1" applyProtection="1"/>
    <xf numFmtId="0" fontId="13" fillId="7" borderId="0" xfId="44" applyFont="1" applyFill="1" applyBorder="1" applyProtection="1">
      <alignment vertical="top"/>
    </xf>
    <xf numFmtId="0" fontId="2" fillId="3" borderId="22" xfId="0" applyFont="1" applyFill="1" applyBorder="1" applyAlignment="1">
      <alignment horizontal="center" vertical="center" wrapText="1"/>
    </xf>
    <xf numFmtId="0" fontId="6" fillId="0" borderId="7" xfId="0" applyFont="1" applyBorder="1" applyAlignment="1"/>
    <xf numFmtId="0" fontId="40" fillId="0" borderId="1" xfId="0" applyFont="1" applyFill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/>
    </xf>
    <xf numFmtId="3" fontId="0" fillId="0" borderId="0" xfId="0" applyNumberFormat="1" applyBorder="1" applyAlignment="1"/>
    <xf numFmtId="0" fontId="0" fillId="0" borderId="0" xfId="0" applyFill="1" applyBorder="1" applyAlignment="1"/>
    <xf numFmtId="2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1" fillId="0" borderId="1" xfId="0" applyFont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4" fillId="0" borderId="1" xfId="0" applyFont="1" applyBorder="1" applyAlignment="1">
      <alignment horizontal="center"/>
    </xf>
    <xf numFmtId="0" fontId="2" fillId="33" borderId="1" xfId="0" applyFont="1" applyFill="1" applyBorder="1" applyAlignment="1">
      <alignment horizontal="center" vertical="center" wrapText="1"/>
    </xf>
    <xf numFmtId="0" fontId="6" fillId="33" borderId="3" xfId="0" applyFont="1" applyFill="1" applyBorder="1" applyAlignment="1"/>
    <xf numFmtId="0" fontId="44" fillId="33" borderId="39" xfId="0" applyFont="1" applyFill="1" applyBorder="1" applyAlignment="1"/>
    <xf numFmtId="0" fontId="6" fillId="33" borderId="4" xfId="0" applyFont="1" applyFill="1" applyBorder="1" applyAlignment="1"/>
    <xf numFmtId="0" fontId="6" fillId="33" borderId="1" xfId="0" applyFont="1" applyFill="1" applyBorder="1" applyAlignment="1">
      <alignment horizontal="center" vertical="center" wrapText="1"/>
    </xf>
    <xf numFmtId="0" fontId="45" fillId="33" borderId="1" xfId="0" applyFont="1" applyFill="1" applyBorder="1" applyAlignment="1">
      <alignment horizontal="center" vertical="center" wrapText="1"/>
    </xf>
    <xf numFmtId="0" fontId="41" fillId="33" borderId="1" xfId="0" applyFont="1" applyFill="1" applyBorder="1" applyAlignment="1">
      <alignment horizontal="center" vertical="center" wrapText="1"/>
    </xf>
    <xf numFmtId="49" fontId="44" fillId="33" borderId="39" xfId="0" applyNumberFormat="1" applyFont="1" applyFill="1" applyBorder="1" applyAlignment="1">
      <alignment horizontal="center"/>
    </xf>
    <xf numFmtId="0" fontId="44" fillId="33" borderId="39" xfId="0" applyFont="1" applyFill="1" applyBorder="1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" fillId="33" borderId="2" xfId="0" applyFont="1" applyFill="1" applyBorder="1" applyAlignment="1">
      <alignment horizontal="center" vertical="center" wrapText="1"/>
    </xf>
    <xf numFmtId="0" fontId="41" fillId="33" borderId="2" xfId="0" applyFont="1" applyFill="1" applyBorder="1" applyAlignment="1">
      <alignment horizontal="center" vertical="center" wrapText="1"/>
    </xf>
    <xf numFmtId="0" fontId="6" fillId="33" borderId="2" xfId="0" applyFont="1" applyFill="1" applyBorder="1" applyAlignment="1">
      <alignment horizontal="center" vertical="center" wrapText="1"/>
    </xf>
    <xf numFmtId="0" fontId="45" fillId="33" borderId="2" xfId="0" applyFont="1" applyFill="1" applyBorder="1" applyAlignment="1">
      <alignment horizontal="center" vertical="center" wrapText="1"/>
    </xf>
    <xf numFmtId="49" fontId="44" fillId="33" borderId="40" xfId="0" applyNumberFormat="1" applyFont="1" applyFill="1" applyBorder="1" applyAlignment="1">
      <alignment horizontal="center"/>
    </xf>
    <xf numFmtId="0" fontId="45" fillId="33" borderId="1" xfId="0" applyFont="1" applyFill="1" applyBorder="1" applyAlignment="1">
      <alignment horizontal="center"/>
    </xf>
    <xf numFmtId="49" fontId="44" fillId="33" borderId="1" xfId="0" applyNumberFormat="1" applyFont="1" applyFill="1" applyBorder="1" applyAlignment="1">
      <alignment horizontal="center"/>
    </xf>
    <xf numFmtId="0" fontId="44" fillId="33" borderId="1" xfId="0" applyFont="1" applyFill="1" applyBorder="1" applyAlignment="1"/>
    <xf numFmtId="3" fontId="17" fillId="0" borderId="0" xfId="0" applyNumberFormat="1" applyFont="1" applyBorder="1" applyAlignment="1"/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0" fillId="0" borderId="1" xfId="0" applyBorder="1" applyAlignment="1"/>
    <xf numFmtId="0" fontId="42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3" fontId="18" fillId="0" borderId="0" xfId="0" applyNumberFormat="1" applyFont="1" applyAlignment="1"/>
    <xf numFmtId="0" fontId="2" fillId="5" borderId="2" xfId="0" applyFont="1" applyFill="1" applyBorder="1" applyAlignment="1"/>
    <xf numFmtId="0" fontId="6" fillId="0" borderId="23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/>
    </xf>
    <xf numFmtId="0" fontId="2" fillId="0" borderId="24" xfId="0" applyFont="1" applyBorder="1" applyAlignment="1"/>
    <xf numFmtId="0" fontId="41" fillId="0" borderId="10" xfId="0" applyFont="1" applyBorder="1" applyAlignment="1"/>
    <xf numFmtId="0" fontId="4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41" fillId="30" borderId="25" xfId="0" applyFont="1" applyFill="1" applyBorder="1" applyAlignment="1"/>
    <xf numFmtId="0" fontId="41" fillId="30" borderId="26" xfId="0" applyFont="1" applyFill="1" applyBorder="1" applyAlignment="1"/>
    <xf numFmtId="0" fontId="41" fillId="30" borderId="11" xfId="0" applyFont="1" applyFill="1" applyBorder="1" applyAlignment="1"/>
    <xf numFmtId="0" fontId="41" fillId="30" borderId="11" xfId="0" applyFont="1" applyFill="1" applyBorder="1" applyAlignment="1">
      <alignment horizontal="center"/>
    </xf>
    <xf numFmtId="0" fontId="44" fillId="30" borderId="11" xfId="0" applyFont="1" applyFill="1" applyBorder="1">
      <alignment vertical="top"/>
    </xf>
    <xf numFmtId="0" fontId="40" fillId="30" borderId="12" xfId="0" applyFont="1" applyFill="1" applyBorder="1" applyAlignment="1">
      <alignment horizontal="center" vertical="center" wrapText="1"/>
    </xf>
    <xf numFmtId="0" fontId="41" fillId="30" borderId="27" xfId="0" applyFont="1" applyFill="1" applyBorder="1" applyAlignment="1"/>
    <xf numFmtId="0" fontId="41" fillId="30" borderId="28" xfId="0" applyFont="1" applyFill="1" applyBorder="1" applyAlignment="1"/>
    <xf numFmtId="0" fontId="41" fillId="30" borderId="16" xfId="0" applyFont="1" applyFill="1" applyBorder="1" applyAlignment="1"/>
    <xf numFmtId="0" fontId="41" fillId="30" borderId="16" xfId="0" applyFont="1" applyFill="1" applyBorder="1" applyAlignment="1">
      <alignment horizontal="center"/>
    </xf>
    <xf numFmtId="0" fontId="44" fillId="30" borderId="16" xfId="0" applyFont="1" applyFill="1" applyBorder="1">
      <alignment vertical="top"/>
    </xf>
    <xf numFmtId="3" fontId="40" fillId="30" borderId="18" xfId="0" applyNumberFormat="1" applyFont="1" applyFill="1" applyBorder="1" applyAlignment="1">
      <alignment horizontal="center"/>
    </xf>
    <xf numFmtId="49" fontId="41" fillId="30" borderId="11" xfId="0" applyNumberFormat="1" applyFont="1" applyFill="1" applyBorder="1" applyAlignment="1">
      <alignment horizontal="center"/>
    </xf>
    <xf numFmtId="49" fontId="41" fillId="30" borderId="16" xfId="0" applyNumberFormat="1" applyFont="1" applyFill="1" applyBorder="1" applyAlignment="1">
      <alignment horizontal="center"/>
    </xf>
    <xf numFmtId="0" fontId="43" fillId="33" borderId="4" xfId="0" applyFont="1" applyFill="1" applyBorder="1" applyAlignment="1"/>
    <xf numFmtId="3" fontId="49" fillId="33" borderId="1" xfId="0" applyNumberFormat="1" applyFont="1" applyFill="1" applyBorder="1" applyAlignment="1">
      <alignment horizontal="right" vertical="center" wrapText="1"/>
    </xf>
    <xf numFmtId="3" fontId="49" fillId="33" borderId="2" xfId="0" applyNumberFormat="1" applyFont="1" applyFill="1" applyBorder="1" applyAlignment="1">
      <alignment horizontal="right" vertical="center" wrapText="1"/>
    </xf>
    <xf numFmtId="3" fontId="49" fillId="33" borderId="1" xfId="0" applyNumberFormat="1" applyFont="1" applyFill="1" applyBorder="1" applyAlignment="1">
      <alignment horizontal="right"/>
    </xf>
    <xf numFmtId="3" fontId="50" fillId="0" borderId="0" xfId="0" applyNumberFormat="1" applyFont="1" applyAlignment="1"/>
    <xf numFmtId="0" fontId="50" fillId="0" borderId="0" xfId="0" applyFont="1" applyAlignment="1"/>
    <xf numFmtId="0" fontId="51" fillId="0" borderId="0" xfId="0" applyFont="1" applyAlignment="1"/>
    <xf numFmtId="49" fontId="52" fillId="4" borderId="1" xfId="0" applyNumberFormat="1" applyFont="1" applyFill="1" applyBorder="1" applyAlignment="1">
      <alignment horizontal="center" vertical="center" wrapText="1"/>
    </xf>
    <xf numFmtId="49" fontId="52" fillId="4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47" fillId="0" borderId="1" xfId="0" applyFont="1" applyFill="1" applyBorder="1" applyAlignment="1">
      <alignment horizontal="center" vertical="center" wrapText="1"/>
    </xf>
    <xf numFmtId="165" fontId="0" fillId="0" borderId="0" xfId="0" applyNumberFormat="1" applyAlignment="1"/>
    <xf numFmtId="3" fontId="53" fillId="0" borderId="0" xfId="0" applyNumberFormat="1" applyFont="1" applyAlignment="1"/>
    <xf numFmtId="0" fontId="53" fillId="0" borderId="0" xfId="0" applyFont="1" applyAlignment="1"/>
    <xf numFmtId="3" fontId="10" fillId="0" borderId="0" xfId="0" applyNumberFormat="1" applyFont="1" applyAlignment="1"/>
    <xf numFmtId="3" fontId="55" fillId="0" borderId="0" xfId="0" applyNumberFormat="1" applyFont="1" applyAlignment="1"/>
    <xf numFmtId="49" fontId="2" fillId="5" borderId="5" xfId="0" applyNumberFormat="1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56" fillId="0" borderId="1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2" fillId="34" borderId="1" xfId="0" applyFont="1" applyFill="1" applyBorder="1" applyAlignment="1">
      <alignment horizontal="center" vertical="center" wrapText="1"/>
    </xf>
    <xf numFmtId="0" fontId="2" fillId="34" borderId="2" xfId="0" applyFont="1" applyFill="1" applyBorder="1" applyAlignment="1">
      <alignment horizontal="center" vertical="center" wrapText="1"/>
    </xf>
    <xf numFmtId="0" fontId="2" fillId="34" borderId="3" xfId="0" applyFont="1" applyFill="1" applyBorder="1" applyAlignment="1"/>
    <xf numFmtId="0" fontId="2" fillId="34" borderId="5" xfId="0" applyFont="1" applyFill="1" applyBorder="1" applyAlignment="1">
      <alignment horizontal="center" vertical="center" wrapText="1"/>
    </xf>
    <xf numFmtId="0" fontId="2" fillId="34" borderId="0" xfId="0" applyFont="1" applyFill="1" applyAlignment="1"/>
    <xf numFmtId="0" fontId="2" fillId="34" borderId="0" xfId="0" applyFont="1" applyFill="1" applyAlignment="1">
      <alignment vertical="center"/>
    </xf>
    <xf numFmtId="49" fontId="6" fillId="34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6" fillId="6" borderId="19" xfId="0" applyFont="1" applyFill="1" applyBorder="1" applyAlignment="1"/>
    <xf numFmtId="0" fontId="0" fillId="35" borderId="1" xfId="0" applyFill="1" applyBorder="1">
      <alignment vertical="top"/>
    </xf>
    <xf numFmtId="0" fontId="2" fillId="34" borderId="1" xfId="0" applyFont="1" applyFill="1" applyBorder="1" applyAlignment="1">
      <alignment vertical="center"/>
    </xf>
    <xf numFmtId="0" fontId="57" fillId="34" borderId="1" xfId="45" applyFont="1" applyFill="1" applyBorder="1" applyAlignment="1">
      <alignment horizontal="center" vertical="center"/>
    </xf>
    <xf numFmtId="0" fontId="58" fillId="0" borderId="0" xfId="0" applyFont="1" applyAlignment="1"/>
    <xf numFmtId="0" fontId="16" fillId="0" borderId="0" xfId="0" applyFont="1" applyAlignment="1"/>
    <xf numFmtId="49" fontId="41" fillId="0" borderId="1" xfId="0" applyNumberFormat="1" applyFont="1" applyBorder="1" applyAlignment="1">
      <alignment horizontal="center"/>
    </xf>
    <xf numFmtId="0" fontId="2" fillId="30" borderId="43" xfId="0" applyFont="1" applyFill="1" applyBorder="1" applyAlignment="1"/>
    <xf numFmtId="49" fontId="2" fillId="30" borderId="2" xfId="0" applyNumberFormat="1" applyFont="1" applyFill="1" applyBorder="1" applyAlignment="1">
      <alignment horizontal="center" vertical="center" wrapText="1"/>
    </xf>
    <xf numFmtId="0" fontId="2" fillId="36" borderId="1" xfId="0" applyFont="1" applyFill="1" applyBorder="1" applyAlignment="1">
      <alignment horizontal="center" vertical="center" wrapText="1"/>
    </xf>
    <xf numFmtId="0" fontId="2" fillId="36" borderId="1" xfId="0" applyFont="1" applyFill="1" applyBorder="1" applyAlignment="1"/>
    <xf numFmtId="49" fontId="6" fillId="36" borderId="1" xfId="0" applyNumberFormat="1" applyFont="1" applyFill="1" applyBorder="1" applyAlignment="1">
      <alignment horizontal="center" vertical="center" wrapText="1"/>
    </xf>
    <xf numFmtId="49" fontId="2" fillId="36" borderId="1" xfId="0" applyNumberFormat="1" applyFont="1" applyFill="1" applyBorder="1" applyAlignment="1">
      <alignment horizontal="center" vertical="center" wrapText="1"/>
    </xf>
    <xf numFmtId="3" fontId="54" fillId="36" borderId="1" xfId="0" applyNumberFormat="1" applyFont="1" applyFill="1" applyBorder="1" applyAlignment="1">
      <alignment horizontal="center" vertical="center" wrapText="1"/>
    </xf>
    <xf numFmtId="0" fontId="41" fillId="0" borderId="0" xfId="0" applyFont="1" applyAlignment="1"/>
    <xf numFmtId="0" fontId="59" fillId="0" borderId="0" xfId="0" applyFont="1" applyAlignment="1">
      <alignment horizontal="center"/>
    </xf>
    <xf numFmtId="0" fontId="2" fillId="0" borderId="2" xfId="0" applyFont="1" applyBorder="1" applyAlignment="1"/>
    <xf numFmtId="0" fontId="41" fillId="0" borderId="2" xfId="0" applyFont="1" applyBorder="1" applyAlignment="1">
      <alignment horizontal="center"/>
    </xf>
    <xf numFmtId="165" fontId="0" fillId="0" borderId="0" xfId="0" applyNumberFormat="1" applyAlignment="1">
      <alignment wrapText="1"/>
    </xf>
    <xf numFmtId="0" fontId="60" fillId="0" borderId="0" xfId="0" applyFont="1" applyAlignment="1"/>
    <xf numFmtId="0" fontId="61" fillId="0" borderId="1" xfId="0" applyFont="1" applyBorder="1" applyAlignment="1">
      <alignment horizontal="center"/>
    </xf>
    <xf numFmtId="0" fontId="62" fillId="0" borderId="0" xfId="0" applyFont="1" applyAlignment="1"/>
    <xf numFmtId="0" fontId="41" fillId="0" borderId="0" xfId="0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center"/>
    </xf>
    <xf numFmtId="0" fontId="2" fillId="34" borderId="1" xfId="0" applyFont="1" applyFill="1" applyBorder="1" applyAlignment="1"/>
    <xf numFmtId="0" fontId="44" fillId="33" borderId="2" xfId="0" applyFont="1" applyFill="1" applyBorder="1" applyAlignment="1"/>
    <xf numFmtId="3" fontId="49" fillId="33" borderId="2" xfId="0" applyNumberFormat="1" applyFont="1" applyFill="1" applyBorder="1" applyAlignment="1">
      <alignment horizontal="right"/>
    </xf>
    <xf numFmtId="0" fontId="44" fillId="33" borderId="4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3" fontId="64" fillId="30" borderId="11" xfId="0" applyNumberFormat="1" applyFont="1" applyFill="1" applyBorder="1" applyAlignment="1">
      <alignment horizontal="center"/>
    </xf>
    <xf numFmtId="0" fontId="64" fillId="30" borderId="16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/>
    </xf>
    <xf numFmtId="0" fontId="2" fillId="33" borderId="24" xfId="0" applyFont="1" applyFill="1" applyBorder="1" applyAlignment="1"/>
    <xf numFmtId="0" fontId="41" fillId="33" borderId="10" xfId="0" applyFont="1" applyFill="1" applyBorder="1" applyAlignment="1"/>
    <xf numFmtId="0" fontId="40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/>
    <xf numFmtId="0" fontId="66" fillId="3" borderId="1" xfId="48" applyFont="1" applyFill="1" applyBorder="1" applyAlignment="1" applyProtection="1"/>
    <xf numFmtId="0" fontId="66" fillId="3" borderId="1" xfId="48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/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63" fillId="3" borderId="1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/>
    <xf numFmtId="0" fontId="5" fillId="0" borderId="1" xfId="0" applyFont="1" applyBorder="1" applyAlignment="1">
      <alignment horizontal="center"/>
    </xf>
    <xf numFmtId="49" fontId="40" fillId="0" borderId="1" xfId="0" applyNumberFormat="1" applyFont="1" applyBorder="1" applyAlignment="1">
      <alignment horizontal="center"/>
    </xf>
    <xf numFmtId="0" fontId="2" fillId="38" borderId="1" xfId="0" applyFont="1" applyFill="1" applyBorder="1" applyAlignment="1">
      <alignment horizontal="center" vertical="center" wrapText="1"/>
    </xf>
    <xf numFmtId="0" fontId="2" fillId="37" borderId="1" xfId="0" applyFont="1" applyFill="1" applyBorder="1" applyAlignment="1">
      <alignment horizontal="center" vertical="center" wrapText="1"/>
    </xf>
    <xf numFmtId="0" fontId="2" fillId="37" borderId="1" xfId="0" applyFont="1" applyFill="1" applyBorder="1" applyAlignment="1"/>
    <xf numFmtId="49" fontId="2" fillId="37" borderId="1" xfId="0" applyNumberFormat="1" applyFont="1" applyFill="1" applyBorder="1" applyAlignment="1">
      <alignment horizontal="center" vertical="center" wrapText="1"/>
    </xf>
    <xf numFmtId="49" fontId="6" fillId="37" borderId="1" xfId="0" applyNumberFormat="1" applyFont="1" applyFill="1" applyBorder="1" applyAlignment="1">
      <alignment horizontal="center" vertical="center" wrapText="1"/>
    </xf>
    <xf numFmtId="3" fontId="54" fillId="37" borderId="1" xfId="0" applyNumberFormat="1" applyFont="1" applyFill="1" applyBorder="1" applyAlignment="1">
      <alignment horizontal="center" vertical="center" wrapText="1"/>
    </xf>
    <xf numFmtId="0" fontId="60" fillId="0" borderId="1" xfId="0" applyFont="1" applyBorder="1">
      <alignment vertical="top"/>
    </xf>
    <xf numFmtId="0" fontId="41" fillId="33" borderId="10" xfId="0" applyFont="1" applyFill="1" applyBorder="1" applyAlignment="1">
      <alignment horizontal="center"/>
    </xf>
    <xf numFmtId="0" fontId="2" fillId="31" borderId="1" xfId="0" applyFont="1" applyFill="1" applyBorder="1" applyAlignment="1"/>
    <xf numFmtId="0" fontId="40" fillId="0" borderId="0" xfId="0" applyFont="1" applyFill="1" applyBorder="1" applyAlignment="1">
      <alignment horizontal="center"/>
    </xf>
    <xf numFmtId="0" fontId="54" fillId="0" borderId="1" xfId="0" applyFont="1" applyFill="1" applyBorder="1" applyAlignment="1">
      <alignment horizontal="center" vertical="center" wrapText="1"/>
    </xf>
    <xf numFmtId="0" fontId="54" fillId="0" borderId="1" xfId="0" quotePrefix="1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0" fontId="67" fillId="0" borderId="1" xfId="0" applyFont="1" applyBorder="1" applyAlignment="1">
      <alignment horizontal="center"/>
    </xf>
    <xf numFmtId="1" fontId="67" fillId="0" borderId="1" xfId="0" applyNumberFormat="1" applyFont="1" applyBorder="1" applyAlignment="1">
      <alignment horizontal="center"/>
    </xf>
    <xf numFmtId="0" fontId="42" fillId="33" borderId="39" xfId="0" applyFont="1" applyFill="1" applyBorder="1" applyAlignment="1"/>
    <xf numFmtId="0" fontId="68" fillId="33" borderId="1" xfId="0" applyFont="1" applyFill="1" applyBorder="1" applyAlignment="1">
      <alignment horizontal="center"/>
    </xf>
    <xf numFmtId="0" fontId="40" fillId="33" borderId="2" xfId="0" applyFont="1" applyFill="1" applyBorder="1" applyAlignment="1">
      <alignment horizontal="center" vertical="center" wrapText="1"/>
    </xf>
    <xf numFmtId="49" fontId="42" fillId="33" borderId="1" xfId="0" applyNumberFormat="1" applyFont="1" applyFill="1" applyBorder="1" applyAlignment="1">
      <alignment horizontal="center"/>
    </xf>
    <xf numFmtId="0" fontId="40" fillId="33" borderId="1" xfId="0" applyFont="1" applyFill="1" applyBorder="1" applyAlignment="1">
      <alignment horizontal="center" vertical="center" wrapText="1"/>
    </xf>
    <xf numFmtId="49" fontId="42" fillId="33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52" fillId="4" borderId="1" xfId="0" applyNumberFormat="1" applyFont="1" applyFill="1" applyBorder="1" applyAlignment="1" applyProtection="1">
      <alignment horizontal="center"/>
      <protection locked="0"/>
    </xf>
    <xf numFmtId="0" fontId="44" fillId="33" borderId="46" xfId="0" applyFont="1" applyFill="1" applyBorder="1" applyAlignment="1"/>
    <xf numFmtId="0" fontId="0" fillId="33" borderId="19" xfId="0" applyFill="1" applyBorder="1" applyAlignment="1"/>
    <xf numFmtId="0" fontId="2" fillId="33" borderId="47" xfId="0" applyFont="1" applyFill="1" applyBorder="1" applyAlignment="1">
      <alignment horizontal="center" vertical="center" wrapText="1"/>
    </xf>
    <xf numFmtId="0" fontId="69" fillId="33" borderId="1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 wrapText="1"/>
    </xf>
    <xf numFmtId="49" fontId="71" fillId="0" borderId="1" xfId="0" applyNumberFormat="1" applyFont="1" applyBorder="1" applyAlignment="1">
      <alignment horizontal="center"/>
    </xf>
    <xf numFmtId="0" fontId="41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62" fillId="0" borderId="2" xfId="0" applyFont="1" applyBorder="1" applyAlignment="1"/>
    <xf numFmtId="49" fontId="41" fillId="0" borderId="2" xfId="0" applyNumberFormat="1" applyFont="1" applyFill="1" applyBorder="1" applyAlignment="1">
      <alignment horizontal="center"/>
    </xf>
    <xf numFmtId="0" fontId="70" fillId="0" borderId="1" xfId="0" applyFont="1" applyBorder="1" applyAlignment="1"/>
    <xf numFmtId="0" fontId="71" fillId="0" borderId="1" xfId="0" applyFont="1" applyFill="1" applyBorder="1" applyAlignment="1">
      <alignment horizontal="center"/>
    </xf>
    <xf numFmtId="0" fontId="72" fillId="0" borderId="1" xfId="0" applyFont="1" applyBorder="1" applyAlignment="1"/>
    <xf numFmtId="0" fontId="73" fillId="0" borderId="1" xfId="0" applyFont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0" fontId="73" fillId="0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/>
    </xf>
    <xf numFmtId="0" fontId="74" fillId="0" borderId="2" xfId="0" applyFont="1" applyFill="1" applyBorder="1" applyAlignment="1">
      <alignment horizontal="center"/>
    </xf>
    <xf numFmtId="0" fontId="74" fillId="0" borderId="2" xfId="0" applyFont="1" applyBorder="1" applyAlignment="1">
      <alignment horizontal="center"/>
    </xf>
    <xf numFmtId="0" fontId="74" fillId="0" borderId="1" xfId="0" applyFont="1" applyBorder="1" applyAlignment="1">
      <alignment horizontal="center"/>
    </xf>
    <xf numFmtId="49" fontId="52" fillId="0" borderId="1" xfId="0" applyNumberFormat="1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center"/>
    </xf>
    <xf numFmtId="0" fontId="76" fillId="0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49" fontId="52" fillId="0" borderId="2" xfId="0" applyNumberFormat="1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1" borderId="1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64" fillId="30" borderId="48" xfId="0" applyNumberFormat="1" applyFont="1" applyFill="1" applyBorder="1" applyAlignment="1">
      <alignment horizontal="center"/>
    </xf>
    <xf numFmtId="0" fontId="64" fillId="30" borderId="49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4" fillId="30" borderId="11" xfId="0" applyFont="1" applyFill="1" applyBorder="1" applyAlignment="1">
      <alignment horizontal="center"/>
    </xf>
    <xf numFmtId="0" fontId="74" fillId="30" borderId="16" xfId="0" applyFont="1" applyFill="1" applyBorder="1" applyAlignment="1">
      <alignment horizontal="center"/>
    </xf>
    <xf numFmtId="3" fontId="77" fillId="0" borderId="0" xfId="0" applyNumberFormat="1" applyFont="1" applyAlignment="1"/>
    <xf numFmtId="0" fontId="78" fillId="0" borderId="0" xfId="0" applyFont="1" applyAlignment="1"/>
    <xf numFmtId="3" fontId="78" fillId="0" borderId="0" xfId="0" applyNumberFormat="1" applyFont="1" applyAlignment="1"/>
    <xf numFmtId="3" fontId="51" fillId="0" borderId="0" xfId="0" applyNumberFormat="1" applyFont="1" applyAlignment="1"/>
    <xf numFmtId="49" fontId="74" fillId="33" borderId="1" xfId="0" applyNumberFormat="1" applyFont="1" applyFill="1" applyBorder="1" applyAlignment="1">
      <alignment horizontal="center" vertical="center" wrapText="1"/>
    </xf>
    <xf numFmtId="49" fontId="74" fillId="33" borderId="2" xfId="0" applyNumberFormat="1" applyFont="1" applyFill="1" applyBorder="1" applyAlignment="1">
      <alignment horizontal="center" vertical="center" wrapText="1"/>
    </xf>
    <xf numFmtId="49" fontId="74" fillId="33" borderId="1" xfId="0" applyNumberFormat="1" applyFont="1" applyFill="1" applyBorder="1" applyAlignment="1">
      <alignment horizontal="center"/>
    </xf>
    <xf numFmtId="49" fontId="49" fillId="33" borderId="1" xfId="0" applyNumberFormat="1" applyFont="1" applyFill="1" applyBorder="1" applyAlignment="1">
      <alignment horizontal="center"/>
    </xf>
    <xf numFmtId="49" fontId="49" fillId="33" borderId="2" xfId="0" applyNumberFormat="1" applyFont="1" applyFill="1" applyBorder="1" applyAlignment="1">
      <alignment horizontal="center"/>
    </xf>
    <xf numFmtId="3" fontId="0" fillId="0" borderId="1" xfId="0" applyNumberFormat="1" applyBorder="1" applyAlignment="1"/>
    <xf numFmtId="0" fontId="0" fillId="0" borderId="29" xfId="0" applyBorder="1" applyAlignment="1"/>
    <xf numFmtId="0" fontId="0" fillId="0" borderId="11" xfId="0" applyBorder="1" applyAlignment="1">
      <alignment horizontal="center"/>
    </xf>
    <xf numFmtId="3" fontId="0" fillId="0" borderId="13" xfId="0" applyNumberFormat="1" applyBorder="1" applyAlignment="1"/>
    <xf numFmtId="0" fontId="0" fillId="0" borderId="16" xfId="0" applyBorder="1" applyAlignment="1"/>
    <xf numFmtId="0" fontId="0" fillId="0" borderId="48" xfId="0" applyBorder="1" applyAlignment="1">
      <alignment horizontal="center"/>
    </xf>
    <xf numFmtId="3" fontId="0" fillId="0" borderId="29" xfId="0" applyNumberFormat="1" applyBorder="1" applyAlignment="1"/>
    <xf numFmtId="3" fontId="0" fillId="0" borderId="51" xfId="0" applyNumberFormat="1" applyBorder="1" applyAlignment="1"/>
    <xf numFmtId="3" fontId="0" fillId="0" borderId="27" xfId="0" applyNumberFormat="1" applyBorder="1" applyAlignment="1"/>
    <xf numFmtId="0" fontId="0" fillId="0" borderId="49" xfId="0" applyBorder="1" applyAlignment="1"/>
    <xf numFmtId="0" fontId="0" fillId="0" borderId="26" xfId="0" applyBorder="1" applyAlignment="1">
      <alignment horizontal="center"/>
    </xf>
    <xf numFmtId="0" fontId="0" fillId="0" borderId="4" xfId="0" applyBorder="1" applyAlignment="1"/>
    <xf numFmtId="0" fontId="0" fillId="0" borderId="28" xfId="0" applyBorder="1" applyAlignment="1"/>
    <xf numFmtId="0" fontId="0" fillId="0" borderId="51" xfId="0" applyBorder="1" applyAlignment="1"/>
    <xf numFmtId="0" fontId="0" fillId="0" borderId="27" xfId="0" applyBorder="1" applyAlignment="1"/>
    <xf numFmtId="0" fontId="0" fillId="39" borderId="29" xfId="0" applyFill="1" applyBorder="1" applyAlignment="1"/>
    <xf numFmtId="0" fontId="0" fillId="39" borderId="53" xfId="0" applyFill="1" applyBorder="1" applyAlignment="1"/>
    <xf numFmtId="0" fontId="0" fillId="39" borderId="19" xfId="0" applyFill="1" applyBorder="1" applyAlignment="1"/>
    <xf numFmtId="3" fontId="18" fillId="39" borderId="52" xfId="0" applyNumberFormat="1" applyFont="1" applyFill="1" applyBorder="1" applyAlignment="1"/>
    <xf numFmtId="3" fontId="18" fillId="39" borderId="51" xfId="0" applyNumberFormat="1" applyFont="1" applyFill="1" applyBorder="1" applyAlignment="1"/>
    <xf numFmtId="3" fontId="0" fillId="39" borderId="13" xfId="0" applyNumberFormat="1" applyFill="1" applyBorder="1" applyAlignment="1"/>
    <xf numFmtId="3" fontId="18" fillId="39" borderId="1" xfId="0" applyNumberFormat="1" applyFont="1" applyFill="1" applyBorder="1" applyAlignment="1"/>
    <xf numFmtId="3" fontId="0" fillId="39" borderId="1" xfId="0" applyNumberFormat="1" applyFill="1" applyBorder="1" applyAlignment="1"/>
    <xf numFmtId="0" fontId="0" fillId="39" borderId="51" xfId="0" applyFill="1" applyBorder="1" applyAlignment="1"/>
    <xf numFmtId="3" fontId="18" fillId="39" borderId="4" xfId="0" applyNumberFormat="1" applyFont="1" applyFill="1" applyBorder="1" applyAlignment="1"/>
    <xf numFmtId="0" fontId="0" fillId="39" borderId="1" xfId="0" applyFill="1" applyBorder="1" applyAlignment="1"/>
    <xf numFmtId="3" fontId="18" fillId="39" borderId="29" xfId="0" applyNumberFormat="1" applyFont="1" applyFill="1" applyBorder="1" applyAlignment="1"/>
    <xf numFmtId="3" fontId="18" fillId="39" borderId="13" xfId="0" applyNumberFormat="1" applyFont="1" applyFill="1" applyBorder="1" applyAlignment="1"/>
    <xf numFmtId="0" fontId="0" fillId="39" borderId="4" xfId="0" applyFill="1" applyBorder="1" applyAlignment="1"/>
    <xf numFmtId="3" fontId="0" fillId="39" borderId="4" xfId="0" applyNumberFormat="1" applyFill="1" applyBorder="1" applyAlignment="1"/>
    <xf numFmtId="3" fontId="18" fillId="39" borderId="58" xfId="0" applyNumberFormat="1" applyFont="1" applyFill="1" applyBorder="1" applyAlignment="1"/>
    <xf numFmtId="3" fontId="0" fillId="0" borderId="58" xfId="0" applyNumberFormat="1" applyBorder="1" applyAlignment="1"/>
    <xf numFmtId="0" fontId="0" fillId="39" borderId="60" xfId="0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3" fontId="18" fillId="39" borderId="54" xfId="0" applyNumberFormat="1" applyFont="1" applyFill="1" applyBorder="1" applyAlignment="1"/>
    <xf numFmtId="3" fontId="18" fillId="39" borderId="61" xfId="0" applyNumberFormat="1" applyFont="1" applyFill="1" applyBorder="1" applyAlignment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39" borderId="54" xfId="0" applyFill="1" applyBorder="1" applyAlignment="1"/>
    <xf numFmtId="0" fontId="60" fillId="0" borderId="51" xfId="0" applyFont="1" applyBorder="1" applyAlignment="1">
      <alignment horizontal="right"/>
    </xf>
    <xf numFmtId="0" fontId="0" fillId="39" borderId="63" xfId="0" applyFill="1" applyBorder="1" applyAlignment="1"/>
    <xf numFmtId="3" fontId="0" fillId="39" borderId="64" xfId="0" applyNumberFormat="1" applyFill="1" applyBorder="1" applyAlignment="1"/>
    <xf numFmtId="3" fontId="0" fillId="39" borderId="2" xfId="0" applyNumberFormat="1" applyFill="1" applyBorder="1" applyAlignment="1"/>
    <xf numFmtId="0" fontId="0" fillId="39" borderId="20" xfId="0" applyFill="1" applyBorder="1" applyAlignment="1"/>
    <xf numFmtId="0" fontId="0" fillId="39" borderId="2" xfId="0" applyFill="1" applyBorder="1" applyAlignment="1"/>
    <xf numFmtId="0" fontId="0" fillId="39" borderId="65" xfId="0" applyFill="1" applyBorder="1" applyAlignment="1"/>
    <xf numFmtId="3" fontId="0" fillId="39" borderId="63" xfId="0" applyNumberFormat="1" applyFill="1" applyBorder="1" applyAlignment="1"/>
    <xf numFmtId="3" fontId="0" fillId="39" borderId="66" xfId="0" applyNumberFormat="1" applyFill="1" applyBorder="1" applyAlignment="1"/>
    <xf numFmtId="0" fontId="0" fillId="0" borderId="14" xfId="0" applyBorder="1" applyAlignment="1"/>
    <xf numFmtId="0" fontId="60" fillId="0" borderId="27" xfId="0" applyFont="1" applyBorder="1" applyAlignment="1">
      <alignment horizontal="right"/>
    </xf>
    <xf numFmtId="0" fontId="0" fillId="0" borderId="18" xfId="0" applyBorder="1" applyAlignment="1"/>
    <xf numFmtId="3" fontId="18" fillId="39" borderId="70" xfId="0" applyNumberFormat="1" applyFont="1" applyFill="1" applyBorder="1" applyAlignment="1"/>
    <xf numFmtId="0" fontId="0" fillId="39" borderId="70" xfId="0" applyFill="1" applyBorder="1" applyAlignment="1"/>
    <xf numFmtId="0" fontId="0" fillId="0" borderId="70" xfId="0" applyBorder="1" applyAlignment="1"/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 wrapText="1"/>
    </xf>
    <xf numFmtId="3" fontId="0" fillId="39" borderId="58" xfId="0" applyNumberFormat="1" applyFill="1" applyBorder="1" applyAlignment="1"/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0" fillId="39" borderId="69" xfId="0" applyFill="1" applyBorder="1" applyAlignment="1">
      <alignment horizontal="center"/>
    </xf>
    <xf numFmtId="0" fontId="0" fillId="39" borderId="71" xfId="0" applyFill="1" applyBorder="1" applyAlignment="1"/>
    <xf numFmtId="0" fontId="0" fillId="0" borderId="18" xfId="0" applyBorder="1" applyAlignment="1">
      <alignment horizontal="center" wrapText="1"/>
    </xf>
    <xf numFmtId="1" fontId="0" fillId="39" borderId="56" xfId="0" applyNumberFormat="1" applyFill="1" applyBorder="1" applyAlignment="1">
      <alignment horizontal="center"/>
    </xf>
    <xf numFmtId="3" fontId="18" fillId="39" borderId="14" xfId="0" applyNumberFormat="1" applyFont="1" applyFill="1" applyBorder="1" applyAlignment="1">
      <alignment horizontal="right"/>
    </xf>
    <xf numFmtId="3" fontId="79" fillId="0" borderId="14" xfId="0" applyNumberFormat="1" applyFont="1" applyBorder="1" applyAlignment="1">
      <alignment horizontal="right"/>
    </xf>
    <xf numFmtId="3" fontId="18" fillId="39" borderId="55" xfId="0" applyNumberFormat="1" applyFont="1" applyFill="1" applyBorder="1" applyAlignment="1">
      <alignment horizontal="right"/>
    </xf>
    <xf numFmtId="0" fontId="0" fillId="0" borderId="13" xfId="0" applyBorder="1" applyAlignment="1"/>
    <xf numFmtId="0" fontId="0" fillId="0" borderId="15" xfId="0" applyBorder="1" applyAlignment="1"/>
    <xf numFmtId="3" fontId="18" fillId="39" borderId="63" xfId="0" applyNumberFormat="1" applyFont="1" applyFill="1" applyBorder="1" applyAlignment="1"/>
    <xf numFmtId="0" fontId="0" fillId="39" borderId="50" xfId="0" applyFill="1" applyBorder="1" applyAlignment="1"/>
    <xf numFmtId="3" fontId="18" fillId="39" borderId="3" xfId="0" applyNumberFormat="1" applyFont="1" applyFill="1" applyBorder="1" applyAlignment="1"/>
    <xf numFmtId="3" fontId="0" fillId="0" borderId="3" xfId="0" applyNumberFormat="1" applyBorder="1" applyAlignment="1"/>
    <xf numFmtId="0" fontId="0" fillId="39" borderId="3" xfId="0" applyFill="1" applyBorder="1" applyAlignment="1"/>
    <xf numFmtId="0" fontId="0" fillId="0" borderId="3" xfId="0" applyBorder="1" applyAlignment="1"/>
    <xf numFmtId="0" fontId="0" fillId="39" borderId="43" xfId="0" applyFill="1" applyBorder="1" applyAlignment="1"/>
    <xf numFmtId="0" fontId="0" fillId="0" borderId="73" xfId="0" applyBorder="1" applyAlignment="1"/>
    <xf numFmtId="4" fontId="0" fillId="0" borderId="0" xfId="0" applyNumberFormat="1" applyAlignment="1"/>
    <xf numFmtId="0" fontId="55" fillId="0" borderId="0" xfId="0" applyFont="1" applyAlignment="1"/>
    <xf numFmtId="0" fontId="10" fillId="0" borderId="1" xfId="0" applyFont="1" applyBorder="1" applyAlignment="1"/>
    <xf numFmtId="3" fontId="0" fillId="0" borderId="14" xfId="0" applyNumberFormat="1" applyBorder="1" applyAlignment="1"/>
    <xf numFmtId="3" fontId="0" fillId="0" borderId="13" xfId="0" applyNumberFormat="1" applyFill="1" applyBorder="1" applyAlignment="1"/>
    <xf numFmtId="0" fontId="10" fillId="0" borderId="14" xfId="0" applyFont="1" applyBorder="1" applyAlignment="1"/>
    <xf numFmtId="3" fontId="0" fillId="0" borderId="15" xfId="0" applyNumberFormat="1" applyFill="1" applyBorder="1" applyAlignment="1"/>
    <xf numFmtId="0" fontId="10" fillId="0" borderId="16" xfId="0" applyFont="1" applyBorder="1" applyAlignment="1"/>
    <xf numFmtId="0" fontId="10" fillId="0" borderId="18" xfId="0" applyFont="1" applyBorder="1" applyAlignment="1"/>
    <xf numFmtId="3" fontId="80" fillId="0" borderId="0" xfId="0" applyNumberFormat="1" applyFon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79" fillId="0" borderId="0" xfId="0" applyFont="1" applyAlignment="1"/>
    <xf numFmtId="0" fontId="81" fillId="0" borderId="0" xfId="0" applyFont="1" applyAlignment="1"/>
    <xf numFmtId="0" fontId="82" fillId="0" borderId="0" xfId="0" applyFont="1" applyAlignment="1"/>
    <xf numFmtId="3" fontId="82" fillId="0" borderId="0" xfId="0" applyNumberFormat="1" applyFont="1" applyAlignment="1"/>
    <xf numFmtId="0" fontId="3" fillId="2" borderId="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/>
    </xf>
    <xf numFmtId="3" fontId="63" fillId="4" borderId="1" xfId="0" applyNumberFormat="1" applyFont="1" applyFill="1" applyBorder="1" applyAlignment="1">
      <alignment horizontal="center" vertical="center" wrapText="1"/>
    </xf>
    <xf numFmtId="0" fontId="52" fillId="4" borderId="1" xfId="0" applyFont="1" applyFill="1" applyBorder="1" applyAlignment="1" applyProtection="1">
      <alignment horizontal="center"/>
      <protection locked="0"/>
    </xf>
    <xf numFmtId="0" fontId="52" fillId="4" borderId="1" xfId="0" applyFont="1" applyFill="1" applyBorder="1" applyAlignment="1">
      <alignment horizontal="center" vertical="center" wrapText="1"/>
    </xf>
    <xf numFmtId="0" fontId="52" fillId="4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Alignment="1">
      <alignment horizontal="center" vertical="center"/>
    </xf>
    <xf numFmtId="0" fontId="84" fillId="0" borderId="0" xfId="0" applyFont="1" applyAlignment="1">
      <alignment horizontal="center"/>
    </xf>
    <xf numFmtId="0" fontId="0" fillId="37" borderId="1" xfId="0" applyFill="1" applyBorder="1">
      <alignment vertical="top"/>
    </xf>
    <xf numFmtId="0" fontId="6" fillId="30" borderId="2" xfId="0" applyFont="1" applyFill="1" applyBorder="1" applyAlignment="1">
      <alignment horizontal="center" vertical="center" wrapText="1"/>
    </xf>
    <xf numFmtId="49" fontId="6" fillId="31" borderId="1" xfId="0" applyNumberFormat="1" applyFont="1" applyFill="1" applyBorder="1" applyAlignment="1">
      <alignment horizontal="center" vertical="center" wrapText="1"/>
    </xf>
    <xf numFmtId="0" fontId="6" fillId="31" borderId="0" xfId="0" applyFont="1" applyFill="1" applyAlignment="1">
      <alignment horizontal="center"/>
    </xf>
    <xf numFmtId="49" fontId="6" fillId="30" borderId="1" xfId="0" applyNumberFormat="1" applyFont="1" applyFill="1" applyBorder="1" applyAlignment="1">
      <alignment horizontal="center" vertical="center" wrapText="1"/>
    </xf>
    <xf numFmtId="49" fontId="6" fillId="30" borderId="2" xfId="0" applyNumberFormat="1" applyFont="1" applyFill="1" applyBorder="1" applyAlignment="1">
      <alignment horizontal="center" vertical="center" wrapText="1"/>
    </xf>
    <xf numFmtId="3" fontId="54" fillId="31" borderId="1" xfId="0" applyNumberFormat="1" applyFont="1" applyFill="1" applyBorder="1" applyAlignment="1">
      <alignment horizontal="center" vertical="center" wrapText="1"/>
    </xf>
    <xf numFmtId="0" fontId="57" fillId="34" borderId="42" xfId="45" applyFont="1" applyFill="1" applyBorder="1" applyAlignment="1">
      <alignment horizontal="center" vertical="center"/>
    </xf>
    <xf numFmtId="0" fontId="6" fillId="34" borderId="1" xfId="0" applyFont="1" applyFill="1" applyBorder="1" applyAlignment="1">
      <alignment horizontal="center" vertical="center" wrapText="1"/>
    </xf>
    <xf numFmtId="0" fontId="57" fillId="34" borderId="0" xfId="45" applyFont="1" applyFill="1" applyBorder="1" applyAlignment="1">
      <alignment horizontal="center" vertical="center"/>
    </xf>
    <xf numFmtId="3" fontId="54" fillId="30" borderId="1" xfId="0" applyNumberFormat="1" applyFont="1" applyFill="1" applyBorder="1" applyAlignment="1">
      <alignment horizontal="center" vertical="center" wrapText="1"/>
    </xf>
    <xf numFmtId="0" fontId="6" fillId="30" borderId="1" xfId="0" applyFont="1" applyFill="1" applyBorder="1" applyAlignment="1">
      <alignment horizontal="center" vertical="center" wrapText="1"/>
    </xf>
    <xf numFmtId="3" fontId="54" fillId="30" borderId="2" xfId="0" applyNumberFormat="1" applyFont="1" applyFill="1" applyBorder="1" applyAlignment="1">
      <alignment horizontal="center" vertical="center" wrapText="1"/>
    </xf>
    <xf numFmtId="0" fontId="6" fillId="36" borderId="1" xfId="0" applyFont="1" applyFill="1" applyBorder="1" applyAlignment="1">
      <alignment horizontal="center" vertical="center" wrapText="1"/>
    </xf>
    <xf numFmtId="0" fontId="6" fillId="37" borderId="1" xfId="0" applyFont="1" applyFill="1" applyBorder="1" applyAlignment="1">
      <alignment horizontal="center" vertical="center" wrapText="1"/>
    </xf>
    <xf numFmtId="3" fontId="54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3" fontId="54" fillId="2" borderId="2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3" fontId="54" fillId="5" borderId="11" xfId="0" applyNumberFormat="1" applyFont="1" applyFill="1" applyBorder="1" applyAlignment="1">
      <alignment horizontal="center" vertical="center" wrapText="1"/>
    </xf>
    <xf numFmtId="3" fontId="54" fillId="5" borderId="10" xfId="0" applyNumberFormat="1" applyFont="1" applyFill="1" applyBorder="1" applyAlignment="1">
      <alignment horizontal="center" vertical="center" wrapText="1"/>
    </xf>
    <xf numFmtId="3" fontId="54" fillId="5" borderId="1" xfId="0" applyNumberFormat="1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3" fontId="54" fillId="5" borderId="5" xfId="0" applyNumberFormat="1" applyFont="1" applyFill="1" applyBorder="1" applyAlignment="1">
      <alignment horizontal="center" vertical="center" wrapText="1"/>
    </xf>
    <xf numFmtId="3" fontId="54" fillId="5" borderId="19" xfId="0" applyNumberFormat="1" applyFont="1" applyFill="1" applyBorder="1" applyAlignment="1">
      <alignment horizontal="center" vertical="center" wrapText="1"/>
    </xf>
    <xf numFmtId="49" fontId="6" fillId="6" borderId="11" xfId="0" applyNumberFormat="1" applyFont="1" applyFill="1" applyBorder="1" applyAlignment="1">
      <alignment horizontal="center" vertical="center" wrapText="1"/>
    </xf>
    <xf numFmtId="3" fontId="54" fillId="6" borderId="11" xfId="0" applyNumberFormat="1" applyFont="1" applyFill="1" applyBorder="1" applyAlignment="1">
      <alignment horizontal="center" vertical="center" wrapText="1"/>
    </xf>
    <xf numFmtId="49" fontId="6" fillId="6" borderId="16" xfId="0" applyNumberFormat="1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3" fontId="54" fillId="6" borderId="1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3" fontId="54" fillId="0" borderId="7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3" fontId="54" fillId="4" borderId="7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3" fontId="54" fillId="3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/>
    </xf>
    <xf numFmtId="3" fontId="67" fillId="0" borderId="10" xfId="0" applyNumberFormat="1" applyFont="1" applyBorder="1" applyAlignment="1">
      <alignment horizontal="center"/>
    </xf>
    <xf numFmtId="3" fontId="67" fillId="33" borderId="10" xfId="0" applyNumberFormat="1" applyFont="1" applyFill="1" applyBorder="1" applyAlignment="1">
      <alignment horizontal="center"/>
    </xf>
    <xf numFmtId="3" fontId="67" fillId="0" borderId="1" xfId="0" applyNumberFormat="1" applyFont="1" applyBorder="1" applyAlignment="1">
      <alignment horizontal="center"/>
    </xf>
    <xf numFmtId="0" fontId="6" fillId="39" borderId="1" xfId="0" applyFont="1" applyFill="1" applyBorder="1" applyAlignment="1">
      <alignment horizontal="center" vertical="center" wrapText="1"/>
    </xf>
    <xf numFmtId="3" fontId="54" fillId="39" borderId="1" xfId="0" applyNumberFormat="1" applyFont="1" applyFill="1" applyBorder="1" applyAlignment="1">
      <alignment horizontal="center" vertical="center" wrapText="1"/>
    </xf>
    <xf numFmtId="0" fontId="11" fillId="39" borderId="1" xfId="0" applyFont="1" applyFill="1" applyBorder="1" applyAlignment="1">
      <alignment horizontal="center"/>
    </xf>
    <xf numFmtId="0" fontId="13" fillId="39" borderId="1" xfId="0" applyFont="1" applyFill="1" applyBorder="1" applyAlignment="1">
      <alignment horizontal="center"/>
    </xf>
    <xf numFmtId="0" fontId="86" fillId="2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49" fontId="6" fillId="39" borderId="1" xfId="0" applyNumberFormat="1" applyFont="1" applyFill="1" applyBorder="1" applyAlignment="1">
      <alignment horizontal="center" vertical="center" wrapText="1"/>
    </xf>
    <xf numFmtId="0" fontId="10" fillId="39" borderId="1" xfId="0" applyFont="1" applyFill="1" applyBorder="1" applyAlignment="1"/>
    <xf numFmtId="0" fontId="40" fillId="39" borderId="1" xfId="0" applyFont="1" applyFill="1" applyBorder="1" applyAlignment="1">
      <alignment horizontal="center"/>
    </xf>
    <xf numFmtId="0" fontId="6" fillId="4" borderId="1" xfId="0" applyFont="1" applyFill="1" applyBorder="1" applyAlignment="1"/>
    <xf numFmtId="0" fontId="2" fillId="40" borderId="1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/>
    <xf numFmtId="0" fontId="41" fillId="40" borderId="1" xfId="0" applyFont="1" applyFill="1" applyBorder="1" applyAlignment="1">
      <alignment horizontal="center"/>
    </xf>
    <xf numFmtId="0" fontId="0" fillId="40" borderId="0" xfId="0" applyFill="1" applyAlignment="1"/>
    <xf numFmtId="49" fontId="41" fillId="40" borderId="1" xfId="0" applyNumberFormat="1" applyFont="1" applyFill="1" applyBorder="1" applyAlignment="1">
      <alignment horizontal="center"/>
    </xf>
    <xf numFmtId="0" fontId="40" fillId="40" borderId="1" xfId="0" applyFont="1" applyFill="1" applyBorder="1" applyAlignment="1">
      <alignment horizontal="center"/>
    </xf>
    <xf numFmtId="0" fontId="54" fillId="40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/>
    </xf>
    <xf numFmtId="0" fontId="62" fillId="40" borderId="1" xfId="0" applyFont="1" applyFill="1" applyBorder="1" applyAlignment="1">
      <alignment horizontal="center"/>
    </xf>
    <xf numFmtId="0" fontId="70" fillId="40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2" fillId="41" borderId="1" xfId="0" applyFont="1" applyFill="1" applyBorder="1" applyAlignment="1">
      <alignment horizontal="center" vertical="center" wrapText="1"/>
    </xf>
    <xf numFmtId="0" fontId="41" fillId="41" borderId="1" xfId="0" applyFont="1" applyFill="1" applyBorder="1" applyAlignment="1">
      <alignment horizontal="center"/>
    </xf>
    <xf numFmtId="0" fontId="0" fillId="41" borderId="1" xfId="0" applyFill="1" applyBorder="1" applyAlignment="1"/>
    <xf numFmtId="0" fontId="6" fillId="41" borderId="1" xfId="0" applyFont="1" applyFill="1" applyBorder="1" applyAlignment="1">
      <alignment horizontal="center" vertical="center" wrapText="1"/>
    </xf>
    <xf numFmtId="0" fontId="44" fillId="41" borderId="1" xfId="0" applyFont="1" applyFill="1" applyBorder="1" applyAlignment="1"/>
    <xf numFmtId="0" fontId="45" fillId="41" borderId="1" xfId="0" applyFont="1" applyFill="1" applyBorder="1" applyAlignment="1">
      <alignment horizontal="center"/>
    </xf>
    <xf numFmtId="0" fontId="41" fillId="41" borderId="1" xfId="0" applyFont="1" applyFill="1" applyBorder="1" applyAlignment="1"/>
    <xf numFmtId="0" fontId="6" fillId="41" borderId="7" xfId="0" applyFont="1" applyFill="1" applyBorder="1" applyAlignment="1">
      <alignment horizontal="center" vertical="center" wrapText="1"/>
    </xf>
    <xf numFmtId="0" fontId="2" fillId="41" borderId="7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0" fillId="41" borderId="1" xfId="0" applyFill="1" applyBorder="1" applyAlignment="1">
      <alignment horizontal="center"/>
    </xf>
    <xf numFmtId="3" fontId="41" fillId="41" borderId="1" xfId="0" applyNumberFormat="1" applyFont="1" applyFill="1" applyBorder="1" applyAlignment="1">
      <alignment horizontal="center"/>
    </xf>
    <xf numFmtId="0" fontId="62" fillId="0" borderId="0" xfId="0" applyFont="1" applyAlignment="1">
      <alignment wrapText="1"/>
    </xf>
    <xf numFmtId="10" fontId="0" fillId="0" borderId="0" xfId="0" applyNumberFormat="1" applyAlignment="1"/>
    <xf numFmtId="0" fontId="0" fillId="8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</cellXfs>
  <cellStyles count="49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Hiperłącze" xfId="44" builtinId="8"/>
    <cellStyle name="Hiperłącze 2" xfId="48"/>
    <cellStyle name="Normalny" xfId="0" builtinId="0"/>
    <cellStyle name="Normalny 2" xfId="45"/>
    <cellStyle name="Result" xfId="46"/>
    <cellStyle name="Result2" xfId="47"/>
  </cellStyles>
  <dxfs count="0"/>
  <tableStyles count="0" defaultTableStyle="TableStyleMedium9" defaultPivotStyle="PivotStyleLight16"/>
  <colors>
    <mruColors>
      <color rgb="FF66FFFF"/>
      <color rgb="FFCCECFF"/>
      <color rgb="FF0000FF"/>
      <color rgb="FF66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g.roni.zlobek@wp.pl" TargetMode="External"/><Relationship Id="rId2" Type="http://schemas.openxmlformats.org/officeDocument/2006/relationships/hyperlink" Target="mailto:j.libera@pm3kg.pl" TargetMode="External"/><Relationship Id="rId1" Type="http://schemas.openxmlformats.org/officeDocument/2006/relationships/hyperlink" Target="mailto:m.hazubska@pm7kg.p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m.zemojtel@pm1kg.p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komunikacja@km.kolobrzeg.pl" TargetMode="External"/><Relationship Id="rId13" Type="http://schemas.openxmlformats.org/officeDocument/2006/relationships/hyperlink" Target="mailto:komunikacja@km.kolobrzeg.pl" TargetMode="External"/><Relationship Id="rId3" Type="http://schemas.openxmlformats.org/officeDocument/2006/relationships/hyperlink" Target="mailto:komunikacja@km.kolobrzeg.pl" TargetMode="External"/><Relationship Id="rId7" Type="http://schemas.openxmlformats.org/officeDocument/2006/relationships/hyperlink" Target="mailto:komunikacja@km.kolobrzeg.pl" TargetMode="External"/><Relationship Id="rId12" Type="http://schemas.openxmlformats.org/officeDocument/2006/relationships/hyperlink" Target="mailto:komunikacja@km.kolobrzeg.pl" TargetMode="External"/><Relationship Id="rId2" Type="http://schemas.openxmlformats.org/officeDocument/2006/relationships/hyperlink" Target="mailto:komunikacja@km.kolobrzeg.pl" TargetMode="External"/><Relationship Id="rId1" Type="http://schemas.openxmlformats.org/officeDocument/2006/relationships/hyperlink" Target="mailto:komunikacja@km.kolobrzeg.pl" TargetMode="External"/><Relationship Id="rId6" Type="http://schemas.openxmlformats.org/officeDocument/2006/relationships/hyperlink" Target="mailto:komunikacja@km.kolobrzeg.pl" TargetMode="External"/><Relationship Id="rId11" Type="http://schemas.openxmlformats.org/officeDocument/2006/relationships/hyperlink" Target="mailto:komunikacja@km.kolobrzeg.pl" TargetMode="External"/><Relationship Id="rId5" Type="http://schemas.openxmlformats.org/officeDocument/2006/relationships/hyperlink" Target="mailto:komunikacja@km.kolobrzeg.pl" TargetMode="External"/><Relationship Id="rId15" Type="http://schemas.openxmlformats.org/officeDocument/2006/relationships/hyperlink" Target="mailto:komunikacja@km.kolobrzeg.pl" TargetMode="External"/><Relationship Id="rId10" Type="http://schemas.openxmlformats.org/officeDocument/2006/relationships/hyperlink" Target="mailto:komunikacja@km.kolobrzeg.pl" TargetMode="External"/><Relationship Id="rId4" Type="http://schemas.openxmlformats.org/officeDocument/2006/relationships/hyperlink" Target="mailto:komunikacja@km.kolobrzeg.pl" TargetMode="External"/><Relationship Id="rId9" Type="http://schemas.openxmlformats.org/officeDocument/2006/relationships/hyperlink" Target="mailto:komunikacja@km.kolobrzeg.pl" TargetMode="External"/><Relationship Id="rId14" Type="http://schemas.openxmlformats.org/officeDocument/2006/relationships/hyperlink" Target="mailto:komunikacja@km.kolobrzeg.p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96"/>
  <sheetViews>
    <sheetView tabSelected="1" topLeftCell="A46" workbookViewId="0">
      <selection activeCell="N37" sqref="N37"/>
    </sheetView>
  </sheetViews>
  <sheetFormatPr defaultRowHeight="14.25"/>
  <cols>
    <col min="1" max="1" width="3" customWidth="1"/>
    <col min="2" max="2" width="21.25" hidden="1" customWidth="1"/>
    <col min="3" max="3" width="11.5" hidden="1" customWidth="1"/>
    <col min="4" max="4" width="9.875" hidden="1" customWidth="1"/>
    <col min="5" max="5" width="3.875" hidden="1" customWidth="1"/>
    <col min="6" max="6" width="7.375" hidden="1" customWidth="1"/>
    <col min="7" max="7" width="9" hidden="1" customWidth="1"/>
    <col min="8" max="8" width="19" hidden="1" customWidth="1"/>
    <col min="9" max="9" width="40.5" customWidth="1"/>
    <col min="10" max="10" width="21.875" customWidth="1"/>
    <col min="11" max="11" width="12.375" customWidth="1"/>
    <col min="12" max="12" width="6.875" customWidth="1"/>
    <col min="13" max="13" width="10.5" customWidth="1"/>
    <col min="14" max="14" width="19.125" customWidth="1"/>
    <col min="15" max="15" width="9.75" customWidth="1"/>
    <col min="17" max="17" width="11.125" style="269" customWidth="1"/>
    <col min="18" max="18" width="13.375" bestFit="1" customWidth="1"/>
    <col min="19" max="19" width="13.375" style="269" customWidth="1"/>
    <col min="21" max="21" width="17.25" hidden="1" customWidth="1"/>
    <col min="22" max="22" width="18" hidden="1" customWidth="1"/>
    <col min="23" max="24" width="19.875" hidden="1" customWidth="1"/>
    <col min="25" max="25" width="17.875" hidden="1" customWidth="1"/>
    <col min="26" max="26" width="15.875" hidden="1" customWidth="1"/>
    <col min="27" max="27" width="16.25" hidden="1" customWidth="1"/>
    <col min="28" max="28" width="17.375" hidden="1" customWidth="1"/>
    <col min="29" max="29" width="0" hidden="1" customWidth="1"/>
    <col min="30" max="30" width="10.375" style="269" customWidth="1"/>
    <col min="31" max="31" width="14.375" customWidth="1"/>
    <col min="32" max="32" width="17" customWidth="1"/>
    <col min="33" max="33" width="16.5" customWidth="1"/>
  </cols>
  <sheetData>
    <row r="1" spans="1:33" s="1" customFormat="1">
      <c r="A1" s="550" t="s">
        <v>16</v>
      </c>
      <c r="B1" s="549" t="s">
        <v>15</v>
      </c>
      <c r="C1" s="549"/>
      <c r="D1" s="549"/>
      <c r="E1" s="549" t="s">
        <v>14</v>
      </c>
      <c r="F1" s="549"/>
      <c r="G1" s="549"/>
      <c r="H1" s="549"/>
      <c r="I1" s="549"/>
      <c r="J1" s="549" t="s">
        <v>381</v>
      </c>
      <c r="K1" s="549"/>
      <c r="L1" s="549"/>
      <c r="M1" s="549"/>
      <c r="N1" s="549" t="s">
        <v>12</v>
      </c>
      <c r="O1" s="549"/>
      <c r="P1" s="549"/>
      <c r="Q1" s="549"/>
      <c r="R1" s="549"/>
      <c r="S1" s="549"/>
      <c r="T1" s="549"/>
      <c r="AD1" s="270"/>
      <c r="AE1" s="270"/>
      <c r="AF1" s="270"/>
      <c r="AG1" s="270"/>
    </row>
    <row r="2" spans="1:33" s="1" customFormat="1" ht="59.25" customHeight="1">
      <c r="A2" s="550"/>
      <c r="B2" s="3" t="s">
        <v>11</v>
      </c>
      <c r="C2" s="4" t="s">
        <v>10</v>
      </c>
      <c r="D2" s="3" t="s">
        <v>6</v>
      </c>
      <c r="E2" s="3" t="s">
        <v>5</v>
      </c>
      <c r="F2" s="3" t="s">
        <v>4</v>
      </c>
      <c r="G2" s="3" t="s">
        <v>9</v>
      </c>
      <c r="H2" s="3" t="s">
        <v>8</v>
      </c>
      <c r="I2" s="3" t="s">
        <v>7</v>
      </c>
      <c r="J2" s="4" t="s">
        <v>6</v>
      </c>
      <c r="K2" s="4" t="s">
        <v>5</v>
      </c>
      <c r="L2" s="4" t="s">
        <v>4</v>
      </c>
      <c r="M2" s="4" t="s">
        <v>3</v>
      </c>
      <c r="N2" s="3" t="s">
        <v>17</v>
      </c>
      <c r="O2" s="3" t="s">
        <v>2</v>
      </c>
      <c r="P2" s="3" t="s">
        <v>1</v>
      </c>
      <c r="Q2" s="342" t="s">
        <v>461</v>
      </c>
      <c r="R2" s="221" t="s">
        <v>684</v>
      </c>
      <c r="S2" s="342" t="s">
        <v>683</v>
      </c>
      <c r="T2" s="3" t="s">
        <v>0</v>
      </c>
      <c r="U2" s="21" t="s">
        <v>114</v>
      </c>
      <c r="V2" s="21" t="s">
        <v>116</v>
      </c>
      <c r="W2" s="21" t="s">
        <v>292</v>
      </c>
      <c r="X2" s="21" t="s">
        <v>117</v>
      </c>
      <c r="Y2" s="22" t="s">
        <v>118</v>
      </c>
      <c r="Z2" s="22" t="s">
        <v>126</v>
      </c>
      <c r="AA2" s="22" t="s">
        <v>120</v>
      </c>
      <c r="AB2" s="133" t="s">
        <v>307</v>
      </c>
      <c r="AC2" s="134" t="s">
        <v>330</v>
      </c>
      <c r="AD2" s="134" t="s">
        <v>114</v>
      </c>
      <c r="AE2" s="276" t="s">
        <v>117</v>
      </c>
      <c r="AF2" s="277" t="s">
        <v>118</v>
      </c>
      <c r="AG2" s="277" t="s">
        <v>537</v>
      </c>
    </row>
    <row r="3" spans="1:33" s="5" customFormat="1" ht="14.25" customHeight="1">
      <c r="A3" s="2">
        <v>1</v>
      </c>
      <c r="B3" s="7" t="s">
        <v>18</v>
      </c>
      <c r="C3" s="6" t="s">
        <v>22</v>
      </c>
      <c r="D3" s="7" t="s">
        <v>19</v>
      </c>
      <c r="E3" s="7">
        <v>13</v>
      </c>
      <c r="F3" s="7" t="s">
        <v>20</v>
      </c>
      <c r="G3" s="7" t="s">
        <v>21</v>
      </c>
      <c r="H3" s="6" t="s">
        <v>23</v>
      </c>
      <c r="I3" s="2" t="s">
        <v>25</v>
      </c>
      <c r="J3" s="211" t="s">
        <v>62</v>
      </c>
      <c r="K3" s="2"/>
      <c r="L3" s="2" t="s">
        <v>20</v>
      </c>
      <c r="M3" s="2" t="s">
        <v>21</v>
      </c>
      <c r="N3" s="115" t="s">
        <v>192</v>
      </c>
      <c r="O3" s="335" t="s">
        <v>665</v>
      </c>
      <c r="P3" s="2">
        <v>33</v>
      </c>
      <c r="Q3" s="302">
        <v>45000</v>
      </c>
      <c r="R3" s="302">
        <v>45000</v>
      </c>
      <c r="S3" s="302">
        <f>R3+Q3</f>
        <v>90000</v>
      </c>
      <c r="T3" s="2" t="s">
        <v>24</v>
      </c>
      <c r="U3" s="5" t="s">
        <v>115</v>
      </c>
      <c r="W3" s="16" t="s">
        <v>624</v>
      </c>
      <c r="X3" s="210" t="s">
        <v>462</v>
      </c>
      <c r="Y3" s="16" t="s">
        <v>463</v>
      </c>
      <c r="AA3" s="24" t="s">
        <v>479</v>
      </c>
      <c r="AB3" s="16" t="s">
        <v>331</v>
      </c>
      <c r="AC3" s="16" t="s">
        <v>305</v>
      </c>
      <c r="AD3" s="275" t="s">
        <v>115</v>
      </c>
      <c r="AE3" s="251" t="s">
        <v>462</v>
      </c>
      <c r="AF3" s="275" t="s">
        <v>643</v>
      </c>
      <c r="AG3" s="462" t="s">
        <v>764</v>
      </c>
    </row>
    <row r="4" spans="1:33" ht="14.25" customHeight="1">
      <c r="A4" s="2">
        <v>2</v>
      </c>
      <c r="B4" s="2" t="s">
        <v>18</v>
      </c>
      <c r="C4" s="8" t="s">
        <v>22</v>
      </c>
      <c r="D4" s="2" t="s">
        <v>19</v>
      </c>
      <c r="E4" s="2">
        <v>13</v>
      </c>
      <c r="F4" s="2" t="s">
        <v>20</v>
      </c>
      <c r="G4" s="2" t="s">
        <v>21</v>
      </c>
      <c r="H4" s="9" t="s">
        <v>23</v>
      </c>
      <c r="I4" s="2" t="s">
        <v>31</v>
      </c>
      <c r="J4" s="211" t="s">
        <v>30</v>
      </c>
      <c r="K4" s="2"/>
      <c r="L4" s="2" t="s">
        <v>20</v>
      </c>
      <c r="M4" s="2" t="s">
        <v>21</v>
      </c>
      <c r="N4" s="25" t="s">
        <v>193</v>
      </c>
      <c r="O4" s="10" t="s">
        <v>89</v>
      </c>
      <c r="P4" s="2">
        <v>8.3000000000000007</v>
      </c>
      <c r="Q4" s="2">
        <v>28000</v>
      </c>
      <c r="R4" s="303">
        <v>28000</v>
      </c>
      <c r="S4" s="302">
        <f t="shared" ref="S4:S67" si="0">R4+Q4</f>
        <v>56000</v>
      </c>
      <c r="T4" s="2" t="s">
        <v>24</v>
      </c>
      <c r="U4" s="5" t="s">
        <v>115</v>
      </c>
      <c r="W4" s="275" t="s">
        <v>624</v>
      </c>
      <c r="X4" s="210" t="s">
        <v>462</v>
      </c>
      <c r="Y4" s="16" t="s">
        <v>463</v>
      </c>
      <c r="AA4" s="24" t="s">
        <v>479</v>
      </c>
      <c r="AB4" s="16" t="s">
        <v>341</v>
      </c>
      <c r="AC4" s="16" t="s">
        <v>305</v>
      </c>
      <c r="AD4" s="275" t="s">
        <v>115</v>
      </c>
      <c r="AE4" s="251" t="s">
        <v>462</v>
      </c>
      <c r="AF4" s="275" t="s">
        <v>643</v>
      </c>
      <c r="AG4" s="462" t="s">
        <v>764</v>
      </c>
    </row>
    <row r="5" spans="1:33">
      <c r="A5" s="2">
        <v>3</v>
      </c>
      <c r="B5" s="7" t="s">
        <v>18</v>
      </c>
      <c r="C5" s="6" t="s">
        <v>22</v>
      </c>
      <c r="D5" s="7" t="s">
        <v>19</v>
      </c>
      <c r="E5" s="7">
        <v>13</v>
      </c>
      <c r="F5" s="7" t="s">
        <v>20</v>
      </c>
      <c r="G5" s="7" t="s">
        <v>21</v>
      </c>
      <c r="H5" s="6" t="s">
        <v>23</v>
      </c>
      <c r="I5" s="2" t="s">
        <v>102</v>
      </c>
      <c r="J5" s="211" t="s">
        <v>28</v>
      </c>
      <c r="K5" s="2"/>
      <c r="L5" s="2" t="s">
        <v>20</v>
      </c>
      <c r="M5" s="2" t="s">
        <v>21</v>
      </c>
      <c r="N5" s="25" t="s">
        <v>194</v>
      </c>
      <c r="O5" s="335" t="s">
        <v>421</v>
      </c>
      <c r="P5" s="2">
        <v>2</v>
      </c>
      <c r="Q5" s="2">
        <v>32000</v>
      </c>
      <c r="R5" s="302">
        <v>35000</v>
      </c>
      <c r="S5" s="302">
        <f t="shared" si="0"/>
        <v>67000</v>
      </c>
      <c r="T5" s="2" t="s">
        <v>24</v>
      </c>
      <c r="U5" s="5" t="s">
        <v>115</v>
      </c>
      <c r="W5" s="275" t="s">
        <v>624</v>
      </c>
      <c r="X5" s="210" t="s">
        <v>462</v>
      </c>
      <c r="Y5" s="16" t="s">
        <v>463</v>
      </c>
      <c r="AA5" s="24" t="s">
        <v>479</v>
      </c>
      <c r="AB5" s="16" t="s">
        <v>352</v>
      </c>
      <c r="AC5" s="16" t="s">
        <v>305</v>
      </c>
      <c r="AD5" s="275" t="s">
        <v>115</v>
      </c>
      <c r="AE5" s="251" t="s">
        <v>462</v>
      </c>
      <c r="AF5" s="275" t="s">
        <v>643</v>
      </c>
      <c r="AG5" s="462" t="s">
        <v>764</v>
      </c>
    </row>
    <row r="6" spans="1:33">
      <c r="A6" s="2">
        <v>4</v>
      </c>
      <c r="B6" s="2" t="s">
        <v>18</v>
      </c>
      <c r="C6" s="8" t="s">
        <v>22</v>
      </c>
      <c r="D6" s="2" t="s">
        <v>19</v>
      </c>
      <c r="E6" s="2">
        <v>13</v>
      </c>
      <c r="F6" s="2" t="s">
        <v>20</v>
      </c>
      <c r="G6" s="2" t="s">
        <v>21</v>
      </c>
      <c r="H6" s="9" t="s">
        <v>23</v>
      </c>
      <c r="I6" s="2" t="s">
        <v>26</v>
      </c>
      <c r="J6" s="211" t="s">
        <v>103</v>
      </c>
      <c r="K6" s="2"/>
      <c r="L6" s="2" t="s">
        <v>20</v>
      </c>
      <c r="M6" s="2" t="s">
        <v>21</v>
      </c>
      <c r="N6" s="25" t="s">
        <v>195</v>
      </c>
      <c r="O6" s="335" t="s">
        <v>657</v>
      </c>
      <c r="P6" s="2">
        <v>15</v>
      </c>
      <c r="Q6" s="2">
        <v>27800</v>
      </c>
      <c r="R6" s="302">
        <v>27800</v>
      </c>
      <c r="S6" s="302">
        <f t="shared" si="0"/>
        <v>55600</v>
      </c>
      <c r="T6" s="2" t="s">
        <v>24</v>
      </c>
      <c r="U6" s="5" t="s">
        <v>115</v>
      </c>
      <c r="W6" s="275" t="s">
        <v>624</v>
      </c>
      <c r="X6" s="210" t="s">
        <v>462</v>
      </c>
      <c r="Y6" s="16" t="s">
        <v>463</v>
      </c>
      <c r="AA6" s="24" t="s">
        <v>479</v>
      </c>
      <c r="AB6" s="16" t="s">
        <v>317</v>
      </c>
      <c r="AC6" s="16" t="s">
        <v>305</v>
      </c>
      <c r="AD6" s="275" t="s">
        <v>115</v>
      </c>
      <c r="AE6" s="251" t="s">
        <v>462</v>
      </c>
      <c r="AF6" s="275" t="s">
        <v>643</v>
      </c>
      <c r="AG6" s="462" t="s">
        <v>764</v>
      </c>
    </row>
    <row r="7" spans="1:33">
      <c r="A7" s="2">
        <v>5</v>
      </c>
      <c r="B7" s="7" t="s">
        <v>18</v>
      </c>
      <c r="C7" s="6" t="s">
        <v>22</v>
      </c>
      <c r="D7" s="7" t="s">
        <v>19</v>
      </c>
      <c r="E7" s="7">
        <v>13</v>
      </c>
      <c r="F7" s="7" t="s">
        <v>20</v>
      </c>
      <c r="G7" s="7" t="s">
        <v>21</v>
      </c>
      <c r="H7" s="6" t="s">
        <v>23</v>
      </c>
      <c r="I7" s="2" t="s">
        <v>102</v>
      </c>
      <c r="J7" s="211" t="s">
        <v>27</v>
      </c>
      <c r="K7" s="2"/>
      <c r="L7" s="2" t="s">
        <v>20</v>
      </c>
      <c r="M7" s="2" t="s">
        <v>21</v>
      </c>
      <c r="N7" s="11" t="s">
        <v>196</v>
      </c>
      <c r="O7" s="341" t="s">
        <v>663</v>
      </c>
      <c r="P7" s="2">
        <v>3</v>
      </c>
      <c r="Q7" s="2">
        <v>5500</v>
      </c>
      <c r="R7" s="302">
        <f>2000+4000-500</f>
        <v>5500</v>
      </c>
      <c r="S7" s="302">
        <f t="shared" si="0"/>
        <v>11000</v>
      </c>
      <c r="T7" s="2" t="s">
        <v>24</v>
      </c>
      <c r="U7" s="5" t="s">
        <v>115</v>
      </c>
      <c r="W7" s="275" t="s">
        <v>624</v>
      </c>
      <c r="X7" s="210" t="s">
        <v>462</v>
      </c>
      <c r="Y7" s="16" t="s">
        <v>463</v>
      </c>
      <c r="AA7" s="24" t="s">
        <v>479</v>
      </c>
      <c r="AB7" s="16" t="s">
        <v>332</v>
      </c>
      <c r="AC7" s="16" t="s">
        <v>305</v>
      </c>
      <c r="AD7" s="275" t="s">
        <v>115</v>
      </c>
      <c r="AE7" s="251" t="s">
        <v>462</v>
      </c>
      <c r="AF7" s="275" t="s">
        <v>643</v>
      </c>
      <c r="AG7" s="462" t="s">
        <v>764</v>
      </c>
    </row>
    <row r="8" spans="1:33">
      <c r="A8" s="2">
        <v>6</v>
      </c>
      <c r="B8" s="7" t="s">
        <v>18</v>
      </c>
      <c r="C8" s="6" t="s">
        <v>22</v>
      </c>
      <c r="D8" s="7" t="s">
        <v>19</v>
      </c>
      <c r="E8" s="7">
        <v>13</v>
      </c>
      <c r="F8" s="7" t="s">
        <v>20</v>
      </c>
      <c r="G8" s="7" t="s">
        <v>21</v>
      </c>
      <c r="H8" s="6" t="s">
        <v>23</v>
      </c>
      <c r="I8" s="2" t="s">
        <v>102</v>
      </c>
      <c r="J8" s="211" t="s">
        <v>34</v>
      </c>
      <c r="K8" s="2"/>
      <c r="L8" s="2" t="s">
        <v>20</v>
      </c>
      <c r="M8" s="2" t="s">
        <v>21</v>
      </c>
      <c r="N8" s="25" t="s">
        <v>243</v>
      </c>
      <c r="O8" s="335" t="s">
        <v>653</v>
      </c>
      <c r="P8" s="2">
        <v>15</v>
      </c>
      <c r="Q8" s="2">
        <v>53000</v>
      </c>
      <c r="R8" s="302">
        <v>53000</v>
      </c>
      <c r="S8" s="302">
        <f t="shared" si="0"/>
        <v>106000</v>
      </c>
      <c r="T8" s="2" t="s">
        <v>24</v>
      </c>
      <c r="U8" s="5" t="s">
        <v>115</v>
      </c>
      <c r="W8" s="275" t="s">
        <v>624</v>
      </c>
      <c r="X8" s="210" t="s">
        <v>462</v>
      </c>
      <c r="Y8" s="16" t="s">
        <v>463</v>
      </c>
      <c r="AA8" s="24" t="s">
        <v>479</v>
      </c>
      <c r="AB8" s="16" t="s">
        <v>368</v>
      </c>
      <c r="AC8" s="16" t="s">
        <v>369</v>
      </c>
      <c r="AD8" s="275" t="s">
        <v>115</v>
      </c>
      <c r="AE8" s="251" t="s">
        <v>462</v>
      </c>
      <c r="AF8" s="275" t="s">
        <v>643</v>
      </c>
      <c r="AG8" s="462" t="s">
        <v>764</v>
      </c>
    </row>
    <row r="9" spans="1:33">
      <c r="A9" s="2">
        <v>7</v>
      </c>
      <c r="B9" s="2" t="s">
        <v>18</v>
      </c>
      <c r="C9" s="8" t="s">
        <v>22</v>
      </c>
      <c r="D9" s="2" t="s">
        <v>19</v>
      </c>
      <c r="E9" s="2">
        <v>13</v>
      </c>
      <c r="F9" s="2" t="s">
        <v>20</v>
      </c>
      <c r="G9" s="2" t="s">
        <v>21</v>
      </c>
      <c r="H9" s="9" t="s">
        <v>23</v>
      </c>
      <c r="I9" s="2" t="s">
        <v>29</v>
      </c>
      <c r="J9" s="211" t="s">
        <v>35</v>
      </c>
      <c r="K9" s="12"/>
      <c r="L9" s="12" t="s">
        <v>20</v>
      </c>
      <c r="M9" s="12" t="s">
        <v>21</v>
      </c>
      <c r="N9" s="25" t="s">
        <v>197</v>
      </c>
      <c r="O9" s="10" t="s">
        <v>444</v>
      </c>
      <c r="P9" s="2">
        <v>14</v>
      </c>
      <c r="Q9" s="2">
        <v>57000</v>
      </c>
      <c r="R9" s="302">
        <v>57000</v>
      </c>
      <c r="S9" s="302">
        <f t="shared" si="0"/>
        <v>114000</v>
      </c>
      <c r="T9" s="2" t="s">
        <v>24</v>
      </c>
      <c r="U9" s="5" t="s">
        <v>115</v>
      </c>
      <c r="W9" s="275" t="s">
        <v>624</v>
      </c>
      <c r="X9" s="210" t="s">
        <v>462</v>
      </c>
      <c r="Y9" s="16" t="s">
        <v>463</v>
      </c>
      <c r="AA9" s="24" t="s">
        <v>479</v>
      </c>
      <c r="AB9" s="16" t="s">
        <v>344</v>
      </c>
      <c r="AC9" s="16" t="s">
        <v>305</v>
      </c>
      <c r="AD9" s="275" t="s">
        <v>115</v>
      </c>
      <c r="AE9" s="251" t="s">
        <v>462</v>
      </c>
      <c r="AF9" s="275" t="s">
        <v>643</v>
      </c>
      <c r="AG9" s="462" t="s">
        <v>764</v>
      </c>
    </row>
    <row r="10" spans="1:33" ht="14.25" customHeight="1">
      <c r="A10" s="2">
        <v>8</v>
      </c>
      <c r="B10" s="7" t="s">
        <v>18</v>
      </c>
      <c r="C10" s="6" t="s">
        <v>22</v>
      </c>
      <c r="D10" s="7" t="s">
        <v>19</v>
      </c>
      <c r="E10" s="7">
        <v>13</v>
      </c>
      <c r="F10" s="7" t="s">
        <v>20</v>
      </c>
      <c r="G10" s="7" t="s">
        <v>21</v>
      </c>
      <c r="H10" s="6" t="s">
        <v>23</v>
      </c>
      <c r="I10" s="2" t="s">
        <v>37</v>
      </c>
      <c r="J10" s="211" t="s">
        <v>36</v>
      </c>
      <c r="K10" s="2"/>
      <c r="L10" s="2" t="s">
        <v>20</v>
      </c>
      <c r="M10" s="2" t="s">
        <v>21</v>
      </c>
      <c r="N10" s="25" t="s">
        <v>198</v>
      </c>
      <c r="O10" s="335" t="s">
        <v>666</v>
      </c>
      <c r="P10" s="2">
        <v>1</v>
      </c>
      <c r="Q10" s="2">
        <v>3500</v>
      </c>
      <c r="R10" s="302">
        <f>1185+2415</f>
        <v>3600</v>
      </c>
      <c r="S10" s="302">
        <f t="shared" si="0"/>
        <v>7100</v>
      </c>
      <c r="T10" s="2" t="s">
        <v>24</v>
      </c>
      <c r="U10" s="5" t="s">
        <v>115</v>
      </c>
      <c r="W10" s="275" t="s">
        <v>624</v>
      </c>
      <c r="X10" s="210" t="s">
        <v>462</v>
      </c>
      <c r="Y10" s="16" t="s">
        <v>463</v>
      </c>
      <c r="AA10" s="24" t="s">
        <v>479</v>
      </c>
      <c r="AB10" s="16" t="s">
        <v>337</v>
      </c>
      <c r="AC10" s="16" t="s">
        <v>305</v>
      </c>
      <c r="AD10" s="275" t="s">
        <v>115</v>
      </c>
      <c r="AE10" s="251" t="s">
        <v>462</v>
      </c>
      <c r="AF10" s="275" t="s">
        <v>643</v>
      </c>
      <c r="AG10" s="462" t="s">
        <v>764</v>
      </c>
    </row>
    <row r="11" spans="1:33">
      <c r="A11" s="2">
        <v>9</v>
      </c>
      <c r="B11" s="2" t="s">
        <v>18</v>
      </c>
      <c r="C11" s="8" t="s">
        <v>22</v>
      </c>
      <c r="D11" s="2" t="s">
        <v>19</v>
      </c>
      <c r="E11" s="2">
        <v>13</v>
      </c>
      <c r="F11" s="2" t="s">
        <v>20</v>
      </c>
      <c r="G11" s="2" t="s">
        <v>21</v>
      </c>
      <c r="H11" s="9" t="s">
        <v>23</v>
      </c>
      <c r="I11" s="2" t="s">
        <v>38</v>
      </c>
      <c r="J11" s="211" t="s">
        <v>39</v>
      </c>
      <c r="K11" s="2">
        <v>1</v>
      </c>
      <c r="L11" s="2" t="s">
        <v>20</v>
      </c>
      <c r="M11" s="2" t="s">
        <v>21</v>
      </c>
      <c r="N11" s="25" t="s">
        <v>199</v>
      </c>
      <c r="O11" s="335" t="s">
        <v>667</v>
      </c>
      <c r="P11" s="2">
        <v>1</v>
      </c>
      <c r="Q11" s="2">
        <v>2900</v>
      </c>
      <c r="R11" s="302">
        <f>1450+1450</f>
        <v>2900</v>
      </c>
      <c r="S11" s="302">
        <f t="shared" si="0"/>
        <v>5800</v>
      </c>
      <c r="T11" s="2" t="s">
        <v>24</v>
      </c>
      <c r="U11" s="5" t="s">
        <v>115</v>
      </c>
      <c r="W11" s="275" t="s">
        <v>624</v>
      </c>
      <c r="X11" s="210" t="s">
        <v>462</v>
      </c>
      <c r="Y11" s="16" t="s">
        <v>463</v>
      </c>
      <c r="AA11" s="24" t="s">
        <v>479</v>
      </c>
      <c r="AB11" s="16" t="s">
        <v>328</v>
      </c>
      <c r="AC11" s="16" t="s">
        <v>305</v>
      </c>
      <c r="AD11" s="275" t="s">
        <v>115</v>
      </c>
      <c r="AE11" s="251" t="s">
        <v>462</v>
      </c>
      <c r="AF11" s="275" t="s">
        <v>643</v>
      </c>
      <c r="AG11" s="462" t="s">
        <v>764</v>
      </c>
    </row>
    <row r="12" spans="1:33">
      <c r="A12" s="2">
        <v>10</v>
      </c>
      <c r="B12" s="7" t="s">
        <v>18</v>
      </c>
      <c r="C12" s="6" t="s">
        <v>22</v>
      </c>
      <c r="D12" s="7" t="s">
        <v>19</v>
      </c>
      <c r="E12" s="7">
        <v>13</v>
      </c>
      <c r="F12" s="7" t="s">
        <v>20</v>
      </c>
      <c r="G12" s="7" t="s">
        <v>21</v>
      </c>
      <c r="H12" s="6" t="s">
        <v>23</v>
      </c>
      <c r="I12" s="2" t="s">
        <v>59</v>
      </c>
      <c r="J12" s="211" t="s">
        <v>40</v>
      </c>
      <c r="K12" s="2"/>
      <c r="L12" s="2" t="s">
        <v>20</v>
      </c>
      <c r="M12" s="2" t="s">
        <v>21</v>
      </c>
      <c r="N12" s="25" t="s">
        <v>200</v>
      </c>
      <c r="O12" s="10" t="s">
        <v>422</v>
      </c>
      <c r="P12" s="2">
        <v>3</v>
      </c>
      <c r="Q12" s="2">
        <v>15000</v>
      </c>
      <c r="R12" s="302">
        <v>15000</v>
      </c>
      <c r="S12" s="302">
        <f t="shared" si="0"/>
        <v>30000</v>
      </c>
      <c r="T12" s="2" t="s">
        <v>24</v>
      </c>
      <c r="U12" s="5" t="s">
        <v>115</v>
      </c>
      <c r="W12" s="275" t="s">
        <v>624</v>
      </c>
      <c r="X12" s="210" t="s">
        <v>462</v>
      </c>
      <c r="Y12" s="16" t="s">
        <v>463</v>
      </c>
      <c r="AA12" s="24" t="s">
        <v>479</v>
      </c>
      <c r="AB12" s="16" t="s">
        <v>320</v>
      </c>
      <c r="AC12" s="16" t="s">
        <v>305</v>
      </c>
      <c r="AD12" s="275" t="s">
        <v>115</v>
      </c>
      <c r="AE12" s="251" t="s">
        <v>462</v>
      </c>
      <c r="AF12" s="275" t="s">
        <v>643</v>
      </c>
      <c r="AG12" s="462" t="s">
        <v>764</v>
      </c>
    </row>
    <row r="13" spans="1:33">
      <c r="A13" s="2">
        <v>11</v>
      </c>
      <c r="B13" s="2" t="s">
        <v>18</v>
      </c>
      <c r="C13" s="8" t="s">
        <v>22</v>
      </c>
      <c r="D13" s="2" t="s">
        <v>19</v>
      </c>
      <c r="E13" s="2">
        <v>13</v>
      </c>
      <c r="F13" s="2" t="s">
        <v>20</v>
      </c>
      <c r="G13" s="2" t="s">
        <v>21</v>
      </c>
      <c r="H13" s="9" t="s">
        <v>23</v>
      </c>
      <c r="I13" s="2" t="s">
        <v>32</v>
      </c>
      <c r="J13" s="211" t="s">
        <v>41</v>
      </c>
      <c r="K13" s="2"/>
      <c r="L13" s="2" t="s">
        <v>20</v>
      </c>
      <c r="M13" s="2" t="s">
        <v>21</v>
      </c>
      <c r="N13" s="25" t="s">
        <v>201</v>
      </c>
      <c r="O13" s="338" t="s">
        <v>633</v>
      </c>
      <c r="P13" s="2">
        <v>0.5</v>
      </c>
      <c r="Q13" s="2">
        <v>1700</v>
      </c>
      <c r="R13" s="302">
        <f>697+1003</f>
        <v>1700</v>
      </c>
      <c r="S13" s="302">
        <f t="shared" si="0"/>
        <v>3400</v>
      </c>
      <c r="T13" s="2" t="s">
        <v>24</v>
      </c>
      <c r="U13" s="5" t="s">
        <v>115</v>
      </c>
      <c r="W13" s="275" t="s">
        <v>624</v>
      </c>
      <c r="X13" s="210" t="s">
        <v>462</v>
      </c>
      <c r="Y13" s="16" t="s">
        <v>463</v>
      </c>
      <c r="AA13" s="24" t="s">
        <v>479</v>
      </c>
      <c r="AB13" s="16" t="s">
        <v>345</v>
      </c>
      <c r="AC13" s="16" t="s">
        <v>305</v>
      </c>
      <c r="AD13" s="275" t="s">
        <v>115</v>
      </c>
      <c r="AE13" s="251" t="s">
        <v>462</v>
      </c>
      <c r="AF13" s="275" t="s">
        <v>643</v>
      </c>
      <c r="AG13" s="462" t="s">
        <v>764</v>
      </c>
    </row>
    <row r="14" spans="1:33">
      <c r="A14" s="2">
        <v>12</v>
      </c>
      <c r="B14" s="7" t="s">
        <v>18</v>
      </c>
      <c r="C14" s="6" t="s">
        <v>22</v>
      </c>
      <c r="D14" s="7" t="s">
        <v>19</v>
      </c>
      <c r="E14" s="7">
        <v>13</v>
      </c>
      <c r="F14" s="7" t="s">
        <v>20</v>
      </c>
      <c r="G14" s="7" t="s">
        <v>21</v>
      </c>
      <c r="H14" s="6" t="s">
        <v>23</v>
      </c>
      <c r="I14" s="2" t="s">
        <v>32</v>
      </c>
      <c r="J14" s="12" t="s">
        <v>42</v>
      </c>
      <c r="K14" s="2"/>
      <c r="L14" s="2" t="s">
        <v>20</v>
      </c>
      <c r="M14" s="2" t="s">
        <v>21</v>
      </c>
      <c r="N14" s="25" t="s">
        <v>202</v>
      </c>
      <c r="O14" s="335" t="s">
        <v>677</v>
      </c>
      <c r="P14" s="2">
        <v>0.5</v>
      </c>
      <c r="Q14" s="2">
        <v>1600</v>
      </c>
      <c r="R14" s="302">
        <v>1600</v>
      </c>
      <c r="S14" s="302">
        <f t="shared" si="0"/>
        <v>3200</v>
      </c>
      <c r="T14" s="2" t="s">
        <v>24</v>
      </c>
      <c r="U14" s="5" t="s">
        <v>115</v>
      </c>
      <c r="W14" s="275" t="s">
        <v>624</v>
      </c>
      <c r="X14" s="210" t="s">
        <v>462</v>
      </c>
      <c r="Y14" s="16" t="s">
        <v>463</v>
      </c>
      <c r="AA14" s="24" t="s">
        <v>479</v>
      </c>
      <c r="AB14" s="16" t="s">
        <v>346</v>
      </c>
      <c r="AC14" s="16" t="s">
        <v>305</v>
      </c>
      <c r="AD14" s="275" t="s">
        <v>115</v>
      </c>
      <c r="AE14" s="251" t="s">
        <v>462</v>
      </c>
      <c r="AF14" s="275" t="s">
        <v>643</v>
      </c>
      <c r="AG14" s="462" t="s">
        <v>764</v>
      </c>
    </row>
    <row r="15" spans="1:33">
      <c r="A15" s="2">
        <v>13</v>
      </c>
      <c r="B15" s="2" t="s">
        <v>18</v>
      </c>
      <c r="C15" s="220" t="s">
        <v>22</v>
      </c>
      <c r="D15" s="2" t="s">
        <v>19</v>
      </c>
      <c r="E15" s="2">
        <v>13</v>
      </c>
      <c r="F15" s="2" t="s">
        <v>20</v>
      </c>
      <c r="G15" s="2" t="s">
        <v>21</v>
      </c>
      <c r="H15" s="9" t="s">
        <v>23</v>
      </c>
      <c r="I15" s="2" t="s">
        <v>32</v>
      </c>
      <c r="J15" s="211" t="s">
        <v>465</v>
      </c>
      <c r="K15" s="2"/>
      <c r="L15" s="2" t="s">
        <v>20</v>
      </c>
      <c r="M15" s="2" t="s">
        <v>21</v>
      </c>
      <c r="N15" s="25" t="s">
        <v>203</v>
      </c>
      <c r="O15" s="335" t="s">
        <v>530</v>
      </c>
      <c r="P15" s="2">
        <v>0.5</v>
      </c>
      <c r="Q15" s="2">
        <v>500</v>
      </c>
      <c r="R15" s="302">
        <f>195+305</f>
        <v>500</v>
      </c>
      <c r="S15" s="302">
        <f t="shared" si="0"/>
        <v>1000</v>
      </c>
      <c r="T15" s="2" t="s">
        <v>24</v>
      </c>
      <c r="U15" s="5" t="s">
        <v>115</v>
      </c>
      <c r="W15" s="275" t="s">
        <v>624</v>
      </c>
      <c r="X15" s="210" t="s">
        <v>462</v>
      </c>
      <c r="Y15" s="16" t="s">
        <v>463</v>
      </c>
      <c r="AA15" s="24" t="s">
        <v>479</v>
      </c>
      <c r="AB15" s="16" t="s">
        <v>347</v>
      </c>
      <c r="AC15" s="16" t="s">
        <v>305</v>
      </c>
      <c r="AD15" s="275" t="s">
        <v>115</v>
      </c>
      <c r="AE15" s="251" t="s">
        <v>462</v>
      </c>
      <c r="AF15" s="275" t="s">
        <v>643</v>
      </c>
      <c r="AG15" s="462" t="s">
        <v>764</v>
      </c>
    </row>
    <row r="16" spans="1:33">
      <c r="A16" s="2">
        <v>14</v>
      </c>
      <c r="B16" s="7" t="s">
        <v>18</v>
      </c>
      <c r="C16" s="6" t="s">
        <v>22</v>
      </c>
      <c r="D16" s="7" t="s">
        <v>19</v>
      </c>
      <c r="E16" s="7">
        <v>13</v>
      </c>
      <c r="F16" s="7" t="s">
        <v>20</v>
      </c>
      <c r="G16" s="7" t="s">
        <v>21</v>
      </c>
      <c r="H16" s="6" t="s">
        <v>23</v>
      </c>
      <c r="I16" s="2" t="s">
        <v>101</v>
      </c>
      <c r="J16" s="211" t="s">
        <v>43</v>
      </c>
      <c r="K16" s="2"/>
      <c r="L16" s="2" t="s">
        <v>20</v>
      </c>
      <c r="M16" s="2" t="s">
        <v>21</v>
      </c>
      <c r="N16" s="25" t="s">
        <v>204</v>
      </c>
      <c r="O16" s="335" t="s">
        <v>647</v>
      </c>
      <c r="P16" s="2">
        <v>5.5</v>
      </c>
      <c r="Q16" s="2">
        <v>14000</v>
      </c>
      <c r="R16" s="302">
        <v>14000</v>
      </c>
      <c r="S16" s="302">
        <f t="shared" si="0"/>
        <v>28000</v>
      </c>
      <c r="T16" s="2" t="s">
        <v>24</v>
      </c>
      <c r="U16" s="5" t="s">
        <v>115</v>
      </c>
      <c r="W16" s="275" t="s">
        <v>624</v>
      </c>
      <c r="X16" s="210" t="s">
        <v>462</v>
      </c>
      <c r="Y16" s="16" t="s">
        <v>463</v>
      </c>
      <c r="AA16" s="24" t="s">
        <v>479</v>
      </c>
      <c r="AB16" s="16" t="s">
        <v>336</v>
      </c>
      <c r="AC16" s="16" t="s">
        <v>305</v>
      </c>
      <c r="AD16" s="275" t="s">
        <v>115</v>
      </c>
      <c r="AE16" s="251" t="s">
        <v>462</v>
      </c>
      <c r="AF16" s="275" t="s">
        <v>643</v>
      </c>
      <c r="AG16" s="462" t="s">
        <v>764</v>
      </c>
    </row>
    <row r="17" spans="1:33">
      <c r="A17" s="2">
        <v>15</v>
      </c>
      <c r="B17" s="2" t="s">
        <v>18</v>
      </c>
      <c r="C17" s="8" t="s">
        <v>22</v>
      </c>
      <c r="D17" s="2" t="s">
        <v>19</v>
      </c>
      <c r="E17" s="2">
        <v>13</v>
      </c>
      <c r="F17" s="2" t="s">
        <v>20</v>
      </c>
      <c r="G17" s="2" t="s">
        <v>21</v>
      </c>
      <c r="H17" s="9" t="s">
        <v>23</v>
      </c>
      <c r="I17" s="2" t="s">
        <v>44</v>
      </c>
      <c r="J17" s="211" t="s">
        <v>45</v>
      </c>
      <c r="K17" s="2">
        <v>20</v>
      </c>
      <c r="L17" s="2" t="s">
        <v>20</v>
      </c>
      <c r="M17" s="2" t="s">
        <v>21</v>
      </c>
      <c r="N17" s="25" t="s">
        <v>205</v>
      </c>
      <c r="O17" s="335" t="s">
        <v>669</v>
      </c>
      <c r="P17" s="2">
        <v>3</v>
      </c>
      <c r="Q17" s="2">
        <v>7000</v>
      </c>
      <c r="R17" s="302">
        <f>2300+4700</f>
        <v>7000</v>
      </c>
      <c r="S17" s="302">
        <f t="shared" si="0"/>
        <v>14000</v>
      </c>
      <c r="T17" s="2" t="s">
        <v>24</v>
      </c>
      <c r="U17" s="5" t="s">
        <v>115</v>
      </c>
      <c r="W17" s="275" t="s">
        <v>624</v>
      </c>
      <c r="X17" s="210" t="s">
        <v>462</v>
      </c>
      <c r="Y17" s="16" t="s">
        <v>463</v>
      </c>
      <c r="AA17" s="24" t="s">
        <v>479</v>
      </c>
      <c r="AB17" s="16" t="s">
        <v>327</v>
      </c>
      <c r="AC17" s="16" t="s">
        <v>311</v>
      </c>
      <c r="AD17" s="275" t="s">
        <v>115</v>
      </c>
      <c r="AE17" s="251" t="s">
        <v>462</v>
      </c>
      <c r="AF17" s="275" t="s">
        <v>643</v>
      </c>
      <c r="AG17" s="462" t="s">
        <v>764</v>
      </c>
    </row>
    <row r="18" spans="1:33">
      <c r="A18" s="2">
        <v>16</v>
      </c>
      <c r="B18" s="7" t="s">
        <v>18</v>
      </c>
      <c r="C18" s="6" t="s">
        <v>22</v>
      </c>
      <c r="D18" s="7" t="s">
        <v>19</v>
      </c>
      <c r="E18" s="7">
        <v>13</v>
      </c>
      <c r="F18" s="7" t="s">
        <v>20</v>
      </c>
      <c r="G18" s="7" t="s">
        <v>21</v>
      </c>
      <c r="H18" s="6" t="s">
        <v>23</v>
      </c>
      <c r="I18" s="2" t="s">
        <v>102</v>
      </c>
      <c r="J18" s="211" t="s">
        <v>46</v>
      </c>
      <c r="K18" s="2"/>
      <c r="L18" s="2" t="s">
        <v>20</v>
      </c>
      <c r="M18" s="2" t="s">
        <v>21</v>
      </c>
      <c r="N18" s="25" t="s">
        <v>206</v>
      </c>
      <c r="O18" s="335" t="s">
        <v>445</v>
      </c>
      <c r="P18" s="2">
        <v>3.1</v>
      </c>
      <c r="Q18" s="2">
        <v>30000</v>
      </c>
      <c r="R18" s="302">
        <v>30000</v>
      </c>
      <c r="S18" s="302">
        <f t="shared" si="0"/>
        <v>60000</v>
      </c>
      <c r="T18" s="2" t="s">
        <v>24</v>
      </c>
      <c r="U18" s="5" t="s">
        <v>115</v>
      </c>
      <c r="W18" s="275" t="s">
        <v>624</v>
      </c>
      <c r="X18" s="210" t="s">
        <v>462</v>
      </c>
      <c r="Y18" s="16" t="s">
        <v>463</v>
      </c>
      <c r="AA18" s="24" t="s">
        <v>479</v>
      </c>
      <c r="AB18" s="16" t="s">
        <v>326</v>
      </c>
      <c r="AC18" s="16" t="s">
        <v>305</v>
      </c>
      <c r="AD18" s="275" t="s">
        <v>115</v>
      </c>
      <c r="AE18" s="251" t="s">
        <v>462</v>
      </c>
      <c r="AF18" s="275" t="s">
        <v>643</v>
      </c>
      <c r="AG18" s="462" t="s">
        <v>764</v>
      </c>
    </row>
    <row r="19" spans="1:33">
      <c r="A19" s="2">
        <v>17</v>
      </c>
      <c r="B19" s="2" t="s">
        <v>18</v>
      </c>
      <c r="C19" s="8" t="s">
        <v>22</v>
      </c>
      <c r="D19" s="2" t="s">
        <v>19</v>
      </c>
      <c r="E19" s="2">
        <v>13</v>
      </c>
      <c r="F19" s="2" t="s">
        <v>20</v>
      </c>
      <c r="G19" s="2" t="s">
        <v>21</v>
      </c>
      <c r="H19" s="9" t="s">
        <v>23</v>
      </c>
      <c r="I19" s="2" t="s">
        <v>102</v>
      </c>
      <c r="J19" s="211" t="s">
        <v>47</v>
      </c>
      <c r="K19" s="2"/>
      <c r="L19" s="2" t="s">
        <v>20</v>
      </c>
      <c r="M19" s="2" t="s">
        <v>21</v>
      </c>
      <c r="N19" s="25" t="s">
        <v>207</v>
      </c>
      <c r="O19" s="335" t="s">
        <v>671</v>
      </c>
      <c r="P19" s="2">
        <v>5.5</v>
      </c>
      <c r="Q19" s="2">
        <v>22000</v>
      </c>
      <c r="R19" s="302">
        <f>17000+5000</f>
        <v>22000</v>
      </c>
      <c r="S19" s="302">
        <f t="shared" si="0"/>
        <v>44000</v>
      </c>
      <c r="T19" s="2" t="s">
        <v>24</v>
      </c>
      <c r="U19" s="5" t="s">
        <v>115</v>
      </c>
      <c r="W19" s="275" t="s">
        <v>624</v>
      </c>
      <c r="X19" s="210" t="s">
        <v>462</v>
      </c>
      <c r="Y19" s="16" t="s">
        <v>463</v>
      </c>
      <c r="AA19" s="24" t="s">
        <v>479</v>
      </c>
      <c r="AB19" s="16" t="s">
        <v>348</v>
      </c>
      <c r="AC19" s="16" t="s">
        <v>305</v>
      </c>
      <c r="AD19" s="275" t="s">
        <v>115</v>
      </c>
      <c r="AE19" s="251" t="s">
        <v>462</v>
      </c>
      <c r="AF19" s="275" t="s">
        <v>643</v>
      </c>
      <c r="AG19" s="462" t="s">
        <v>764</v>
      </c>
    </row>
    <row r="20" spans="1:33" ht="15">
      <c r="A20" s="2">
        <v>18</v>
      </c>
      <c r="B20" s="7" t="s">
        <v>18</v>
      </c>
      <c r="C20" s="6" t="s">
        <v>22</v>
      </c>
      <c r="D20" s="7" t="s">
        <v>19</v>
      </c>
      <c r="E20" s="7">
        <v>13</v>
      </c>
      <c r="F20" s="7" t="s">
        <v>20</v>
      </c>
      <c r="G20" s="7" t="s">
        <v>21</v>
      </c>
      <c r="H20" s="6" t="s">
        <v>23</v>
      </c>
      <c r="I20" s="2" t="s">
        <v>29</v>
      </c>
      <c r="J20" s="211" t="s">
        <v>48</v>
      </c>
      <c r="K20" s="2"/>
      <c r="L20" s="2" t="s">
        <v>20</v>
      </c>
      <c r="M20" s="2" t="s">
        <v>21</v>
      </c>
      <c r="N20" s="98" t="s">
        <v>208</v>
      </c>
      <c r="O20" s="335" t="s">
        <v>646</v>
      </c>
      <c r="P20" s="2">
        <v>16</v>
      </c>
      <c r="Q20" s="2">
        <v>18000</v>
      </c>
      <c r="R20" s="302">
        <v>18000</v>
      </c>
      <c r="S20" s="302">
        <f t="shared" si="0"/>
        <v>36000</v>
      </c>
      <c r="T20" s="2" t="s">
        <v>24</v>
      </c>
      <c r="U20" s="5" t="s">
        <v>115</v>
      </c>
      <c r="W20" s="275" t="s">
        <v>624</v>
      </c>
      <c r="X20" s="210" t="s">
        <v>462</v>
      </c>
      <c r="Y20" s="16" t="s">
        <v>463</v>
      </c>
      <c r="AA20" s="24" t="s">
        <v>479</v>
      </c>
      <c r="AB20" s="16" t="s">
        <v>322</v>
      </c>
      <c r="AC20" s="16" t="s">
        <v>305</v>
      </c>
      <c r="AD20" s="275" t="s">
        <v>115</v>
      </c>
      <c r="AE20" s="251" t="s">
        <v>462</v>
      </c>
      <c r="AF20" s="275" t="s">
        <v>643</v>
      </c>
      <c r="AG20" s="462" t="s">
        <v>764</v>
      </c>
    </row>
    <row r="21" spans="1:33">
      <c r="A21" s="2">
        <v>19</v>
      </c>
      <c r="B21" s="2" t="s">
        <v>18</v>
      </c>
      <c r="C21" s="8" t="s">
        <v>22</v>
      </c>
      <c r="D21" s="2" t="s">
        <v>19</v>
      </c>
      <c r="E21" s="2">
        <v>13</v>
      </c>
      <c r="F21" s="2" t="s">
        <v>20</v>
      </c>
      <c r="G21" s="2" t="s">
        <v>21</v>
      </c>
      <c r="H21" s="9" t="s">
        <v>23</v>
      </c>
      <c r="I21" s="2" t="s">
        <v>102</v>
      </c>
      <c r="J21" s="211" t="s">
        <v>49</v>
      </c>
      <c r="K21" s="2"/>
      <c r="L21" s="2" t="s">
        <v>20</v>
      </c>
      <c r="M21" s="2" t="s">
        <v>21</v>
      </c>
      <c r="N21" s="25" t="s">
        <v>209</v>
      </c>
      <c r="O21" s="335" t="s">
        <v>676</v>
      </c>
      <c r="P21" s="2">
        <v>14.5</v>
      </c>
      <c r="Q21" s="302">
        <v>25000</v>
      </c>
      <c r="R21" s="302">
        <v>25000</v>
      </c>
      <c r="S21" s="302">
        <f t="shared" si="0"/>
        <v>50000</v>
      </c>
      <c r="T21" s="2" t="s">
        <v>24</v>
      </c>
      <c r="U21" s="5" t="s">
        <v>115</v>
      </c>
      <c r="W21" s="275" t="s">
        <v>624</v>
      </c>
      <c r="X21" s="210" t="s">
        <v>462</v>
      </c>
      <c r="Y21" s="16" t="s">
        <v>463</v>
      </c>
      <c r="AA21" s="24" t="s">
        <v>479</v>
      </c>
      <c r="AB21" s="16" t="s">
        <v>338</v>
      </c>
      <c r="AC21" s="16" t="s">
        <v>305</v>
      </c>
      <c r="AD21" s="275" t="s">
        <v>115</v>
      </c>
      <c r="AE21" s="251" t="s">
        <v>462</v>
      </c>
      <c r="AF21" s="275" t="s">
        <v>643</v>
      </c>
      <c r="AG21" s="462" t="s">
        <v>764</v>
      </c>
    </row>
    <row r="22" spans="1:33">
      <c r="A22" s="2">
        <v>20</v>
      </c>
      <c r="B22" s="7" t="s">
        <v>18</v>
      </c>
      <c r="C22" s="6" t="s">
        <v>22</v>
      </c>
      <c r="D22" s="7" t="s">
        <v>19</v>
      </c>
      <c r="E22" s="7">
        <v>13</v>
      </c>
      <c r="F22" s="7" t="s">
        <v>20</v>
      </c>
      <c r="G22" s="7" t="s">
        <v>21</v>
      </c>
      <c r="H22" s="6" t="s">
        <v>23</v>
      </c>
      <c r="I22" s="2" t="s">
        <v>29</v>
      </c>
      <c r="J22" s="211" t="s">
        <v>466</v>
      </c>
      <c r="K22" s="2"/>
      <c r="L22" s="2" t="s">
        <v>20</v>
      </c>
      <c r="M22" s="2" t="s">
        <v>21</v>
      </c>
      <c r="N22" s="25" t="s">
        <v>210</v>
      </c>
      <c r="O22" s="335" t="s">
        <v>443</v>
      </c>
      <c r="P22" s="2">
        <v>12.1</v>
      </c>
      <c r="Q22" s="2">
        <v>86000</v>
      </c>
      <c r="R22" s="302">
        <f>29800+25400+25000+15000*1</f>
        <v>95200</v>
      </c>
      <c r="S22" s="302">
        <f t="shared" si="0"/>
        <v>181200</v>
      </c>
      <c r="T22" s="2" t="s">
        <v>24</v>
      </c>
      <c r="U22" s="5" t="s">
        <v>115</v>
      </c>
      <c r="W22" s="275" t="s">
        <v>624</v>
      </c>
      <c r="X22" s="210" t="s">
        <v>462</v>
      </c>
      <c r="Y22" s="16" t="s">
        <v>463</v>
      </c>
      <c r="AA22" s="24" t="s">
        <v>479</v>
      </c>
      <c r="AB22" s="16" t="s">
        <v>319</v>
      </c>
      <c r="AC22" s="16" t="s">
        <v>305</v>
      </c>
      <c r="AD22" s="275" t="s">
        <v>115</v>
      </c>
      <c r="AE22" s="251" t="s">
        <v>462</v>
      </c>
      <c r="AF22" s="275" t="s">
        <v>643</v>
      </c>
      <c r="AG22" s="462" t="s">
        <v>764</v>
      </c>
    </row>
    <row r="23" spans="1:33">
      <c r="A23" s="2">
        <v>21</v>
      </c>
      <c r="B23" s="2" t="s">
        <v>18</v>
      </c>
      <c r="C23" s="8" t="s">
        <v>22</v>
      </c>
      <c r="D23" s="2" t="s">
        <v>19</v>
      </c>
      <c r="E23" s="2">
        <v>13</v>
      </c>
      <c r="F23" s="2" t="s">
        <v>20</v>
      </c>
      <c r="G23" s="2" t="s">
        <v>21</v>
      </c>
      <c r="H23" s="9" t="s">
        <v>23</v>
      </c>
      <c r="I23" s="2" t="s">
        <v>31</v>
      </c>
      <c r="J23" s="211" t="s">
        <v>40</v>
      </c>
      <c r="K23" s="2"/>
      <c r="L23" s="2" t="s">
        <v>20</v>
      </c>
      <c r="M23" s="2" t="s">
        <v>21</v>
      </c>
      <c r="N23" s="25" t="s">
        <v>211</v>
      </c>
      <c r="O23" s="335" t="s">
        <v>660</v>
      </c>
      <c r="P23" s="2">
        <v>1.5</v>
      </c>
      <c r="Q23" s="2">
        <v>40000</v>
      </c>
      <c r="R23" s="302">
        <v>40000</v>
      </c>
      <c r="S23" s="302">
        <f t="shared" si="0"/>
        <v>80000</v>
      </c>
      <c r="T23" s="2" t="s">
        <v>24</v>
      </c>
      <c r="U23" s="5" t="s">
        <v>115</v>
      </c>
      <c r="W23" s="275" t="s">
        <v>624</v>
      </c>
      <c r="X23" s="210" t="s">
        <v>462</v>
      </c>
      <c r="Y23" s="16" t="s">
        <v>463</v>
      </c>
      <c r="AA23" s="24" t="s">
        <v>479</v>
      </c>
      <c r="AB23" s="16" t="s">
        <v>321</v>
      </c>
      <c r="AC23" s="16" t="s">
        <v>305</v>
      </c>
      <c r="AD23" s="275" t="s">
        <v>115</v>
      </c>
      <c r="AE23" s="251" t="s">
        <v>462</v>
      </c>
      <c r="AF23" s="275" t="s">
        <v>643</v>
      </c>
      <c r="AG23" s="462" t="s">
        <v>764</v>
      </c>
    </row>
    <row r="24" spans="1:33">
      <c r="A24" s="2">
        <v>22</v>
      </c>
      <c r="B24" s="7" t="s">
        <v>18</v>
      </c>
      <c r="C24" s="6" t="s">
        <v>22</v>
      </c>
      <c r="D24" s="7" t="s">
        <v>19</v>
      </c>
      <c r="E24" s="7">
        <v>13</v>
      </c>
      <c r="F24" s="7" t="s">
        <v>20</v>
      </c>
      <c r="G24" s="7" t="s">
        <v>21</v>
      </c>
      <c r="H24" s="6" t="s">
        <v>23</v>
      </c>
      <c r="I24" s="2" t="s">
        <v>50</v>
      </c>
      <c r="J24" s="211" t="s">
        <v>51</v>
      </c>
      <c r="K24" s="2"/>
      <c r="L24" s="2" t="s">
        <v>20</v>
      </c>
      <c r="M24" s="2" t="s">
        <v>21</v>
      </c>
      <c r="N24" s="25" t="s">
        <v>212</v>
      </c>
      <c r="O24" s="335" t="s">
        <v>649</v>
      </c>
      <c r="P24" s="2">
        <v>2</v>
      </c>
      <c r="Q24" s="2">
        <v>4500</v>
      </c>
      <c r="R24" s="302">
        <f>4500+1000*0</f>
        <v>4500</v>
      </c>
      <c r="S24" s="302">
        <f t="shared" si="0"/>
        <v>9000</v>
      </c>
      <c r="T24" s="2" t="s">
        <v>24</v>
      </c>
      <c r="U24" s="5" t="s">
        <v>115</v>
      </c>
      <c r="W24" s="275" t="s">
        <v>624</v>
      </c>
      <c r="X24" s="210" t="s">
        <v>462</v>
      </c>
      <c r="Y24" s="16" t="s">
        <v>463</v>
      </c>
      <c r="AA24" s="24" t="s">
        <v>479</v>
      </c>
      <c r="AB24" s="16" t="s">
        <v>340</v>
      </c>
      <c r="AC24" s="16" t="s">
        <v>305</v>
      </c>
      <c r="AD24" s="275" t="s">
        <v>115</v>
      </c>
      <c r="AE24" s="251" t="s">
        <v>462</v>
      </c>
      <c r="AF24" s="275" t="s">
        <v>643</v>
      </c>
      <c r="AG24" s="462" t="s">
        <v>764</v>
      </c>
    </row>
    <row r="25" spans="1:33">
      <c r="A25" s="2">
        <v>23</v>
      </c>
      <c r="B25" s="2" t="s">
        <v>18</v>
      </c>
      <c r="C25" s="8" t="s">
        <v>22</v>
      </c>
      <c r="D25" s="2" t="s">
        <v>19</v>
      </c>
      <c r="E25" s="2">
        <v>13</v>
      </c>
      <c r="F25" s="2" t="s">
        <v>20</v>
      </c>
      <c r="G25" s="2" t="s">
        <v>21</v>
      </c>
      <c r="H25" s="9" t="s">
        <v>23</v>
      </c>
      <c r="I25" s="2" t="s">
        <v>29</v>
      </c>
      <c r="J25" s="211" t="s">
        <v>52</v>
      </c>
      <c r="K25" s="2"/>
      <c r="L25" s="2" t="s">
        <v>20</v>
      </c>
      <c r="M25" s="2" t="s">
        <v>21</v>
      </c>
      <c r="N25" s="25" t="s">
        <v>213</v>
      </c>
      <c r="O25" s="335" t="s">
        <v>650</v>
      </c>
      <c r="P25" s="2">
        <v>2</v>
      </c>
      <c r="Q25" s="302">
        <v>6500</v>
      </c>
      <c r="R25" s="302">
        <v>6500</v>
      </c>
      <c r="S25" s="302">
        <f t="shared" si="0"/>
        <v>13000</v>
      </c>
      <c r="T25" s="2" t="s">
        <v>24</v>
      </c>
      <c r="U25" s="5" t="s">
        <v>115</v>
      </c>
      <c r="W25" s="275" t="s">
        <v>624</v>
      </c>
      <c r="X25" s="210" t="s">
        <v>462</v>
      </c>
      <c r="Y25" s="16" t="s">
        <v>463</v>
      </c>
      <c r="AA25" s="24" t="s">
        <v>479</v>
      </c>
      <c r="AB25" s="16" t="s">
        <v>351</v>
      </c>
      <c r="AC25" s="16" t="s">
        <v>305</v>
      </c>
      <c r="AD25" s="275" t="s">
        <v>115</v>
      </c>
      <c r="AE25" s="251" t="s">
        <v>462</v>
      </c>
      <c r="AF25" s="275" t="s">
        <v>643</v>
      </c>
      <c r="AG25" s="462" t="s">
        <v>764</v>
      </c>
    </row>
    <row r="26" spans="1:33">
      <c r="A26" s="2">
        <v>24</v>
      </c>
      <c r="B26" s="7" t="s">
        <v>18</v>
      </c>
      <c r="C26" s="6" t="s">
        <v>22</v>
      </c>
      <c r="D26" s="7" t="s">
        <v>19</v>
      </c>
      <c r="E26" s="7">
        <v>13</v>
      </c>
      <c r="F26" s="7" t="s">
        <v>20</v>
      </c>
      <c r="G26" s="7" t="s">
        <v>21</v>
      </c>
      <c r="H26" s="6" t="s">
        <v>23</v>
      </c>
      <c r="I26" s="2" t="s">
        <v>53</v>
      </c>
      <c r="J26" s="12" t="s">
        <v>54</v>
      </c>
      <c r="K26" s="2"/>
      <c r="L26" s="2" t="s">
        <v>20</v>
      </c>
      <c r="M26" s="2" t="s">
        <v>21</v>
      </c>
      <c r="N26" s="25" t="s">
        <v>214</v>
      </c>
      <c r="O26" s="10" t="s">
        <v>90</v>
      </c>
      <c r="P26" s="2">
        <v>0.5</v>
      </c>
      <c r="Q26" s="2">
        <v>900</v>
      </c>
      <c r="R26" s="302">
        <v>900</v>
      </c>
      <c r="S26" s="302">
        <f t="shared" si="0"/>
        <v>1800</v>
      </c>
      <c r="T26" s="2" t="s">
        <v>24</v>
      </c>
      <c r="U26" s="5" t="s">
        <v>115</v>
      </c>
      <c r="W26" s="275" t="s">
        <v>624</v>
      </c>
      <c r="X26" s="210" t="s">
        <v>462</v>
      </c>
      <c r="Y26" s="16" t="s">
        <v>463</v>
      </c>
      <c r="AA26" s="24" t="s">
        <v>479</v>
      </c>
      <c r="AB26" s="16" t="s">
        <v>339</v>
      </c>
      <c r="AC26" s="16" t="s">
        <v>305</v>
      </c>
      <c r="AD26" s="275" t="s">
        <v>115</v>
      </c>
      <c r="AE26" s="251" t="s">
        <v>462</v>
      </c>
      <c r="AF26" s="275" t="s">
        <v>643</v>
      </c>
      <c r="AG26" s="462" t="s">
        <v>764</v>
      </c>
    </row>
    <row r="27" spans="1:33">
      <c r="A27" s="2">
        <v>25</v>
      </c>
      <c r="B27" s="2" t="s">
        <v>18</v>
      </c>
      <c r="C27" s="8" t="s">
        <v>22</v>
      </c>
      <c r="D27" s="2" t="s">
        <v>19</v>
      </c>
      <c r="E27" s="2">
        <v>13</v>
      </c>
      <c r="F27" s="2" t="s">
        <v>20</v>
      </c>
      <c r="G27" s="2" t="s">
        <v>21</v>
      </c>
      <c r="H27" s="9" t="s">
        <v>23</v>
      </c>
      <c r="I27" s="2" t="s">
        <v>55</v>
      </c>
      <c r="J27" s="211" t="s">
        <v>33</v>
      </c>
      <c r="K27" s="2"/>
      <c r="L27" s="2" t="s">
        <v>20</v>
      </c>
      <c r="M27" s="2" t="s">
        <v>21</v>
      </c>
      <c r="N27" s="25" t="s">
        <v>215</v>
      </c>
      <c r="O27" s="335" t="s">
        <v>648</v>
      </c>
      <c r="P27" s="2">
        <v>1.4</v>
      </c>
      <c r="Q27" s="302">
        <v>11000</v>
      </c>
      <c r="R27" s="302">
        <v>11000</v>
      </c>
      <c r="S27" s="302">
        <f t="shared" si="0"/>
        <v>22000</v>
      </c>
      <c r="T27" s="2" t="s">
        <v>24</v>
      </c>
      <c r="U27" s="5" t="s">
        <v>115</v>
      </c>
      <c r="W27" s="275" t="s">
        <v>624</v>
      </c>
      <c r="X27" s="210" t="s">
        <v>462</v>
      </c>
      <c r="Y27" s="16" t="s">
        <v>463</v>
      </c>
      <c r="AA27" s="24" t="s">
        <v>479</v>
      </c>
      <c r="AB27" s="16" t="s">
        <v>316</v>
      </c>
      <c r="AC27" s="16" t="s">
        <v>305</v>
      </c>
      <c r="AD27" s="275" t="s">
        <v>115</v>
      </c>
      <c r="AE27" s="251" t="s">
        <v>462</v>
      </c>
      <c r="AF27" s="275" t="s">
        <v>643</v>
      </c>
      <c r="AG27" s="462" t="s">
        <v>764</v>
      </c>
    </row>
    <row r="28" spans="1:33">
      <c r="A28" s="2">
        <v>26</v>
      </c>
      <c r="B28" s="7" t="s">
        <v>18</v>
      </c>
      <c r="C28" s="6" t="s">
        <v>22</v>
      </c>
      <c r="D28" s="7" t="s">
        <v>19</v>
      </c>
      <c r="E28" s="7">
        <v>13</v>
      </c>
      <c r="F28" s="7" t="s">
        <v>20</v>
      </c>
      <c r="G28" s="7" t="s">
        <v>21</v>
      </c>
      <c r="H28" s="6" t="s">
        <v>23</v>
      </c>
      <c r="I28" s="2" t="s">
        <v>102</v>
      </c>
      <c r="J28" s="211" t="s">
        <v>56</v>
      </c>
      <c r="K28" s="2"/>
      <c r="L28" s="2" t="s">
        <v>20</v>
      </c>
      <c r="M28" s="2" t="s">
        <v>21</v>
      </c>
      <c r="N28" s="25" t="s">
        <v>216</v>
      </c>
      <c r="O28" s="335" t="s">
        <v>672</v>
      </c>
      <c r="P28" s="12">
        <v>1</v>
      </c>
      <c r="Q28" s="302">
        <f>6080+12920+4000</f>
        <v>23000</v>
      </c>
      <c r="R28" s="302">
        <f>6080+12920+4000</f>
        <v>23000</v>
      </c>
      <c r="S28" s="302">
        <f t="shared" si="0"/>
        <v>46000</v>
      </c>
      <c r="T28" s="2" t="s">
        <v>24</v>
      </c>
      <c r="U28" s="5" t="s">
        <v>115</v>
      </c>
      <c r="W28" s="275" t="s">
        <v>624</v>
      </c>
      <c r="X28" s="210" t="s">
        <v>462</v>
      </c>
      <c r="Y28" s="16" t="s">
        <v>463</v>
      </c>
      <c r="AA28" s="24" t="s">
        <v>479</v>
      </c>
      <c r="AB28" s="16" t="s">
        <v>315</v>
      </c>
      <c r="AC28" s="16" t="s">
        <v>305</v>
      </c>
      <c r="AD28" s="275" t="s">
        <v>115</v>
      </c>
      <c r="AE28" s="251" t="s">
        <v>462</v>
      </c>
      <c r="AF28" s="275" t="s">
        <v>643</v>
      </c>
      <c r="AG28" s="462" t="s">
        <v>764</v>
      </c>
    </row>
    <row r="29" spans="1:33">
      <c r="A29" s="2">
        <v>27</v>
      </c>
      <c r="B29" s="2" t="s">
        <v>18</v>
      </c>
      <c r="C29" s="8" t="s">
        <v>22</v>
      </c>
      <c r="D29" s="2" t="s">
        <v>19</v>
      </c>
      <c r="E29" s="2">
        <v>13</v>
      </c>
      <c r="F29" s="2" t="s">
        <v>20</v>
      </c>
      <c r="G29" s="2" t="s">
        <v>21</v>
      </c>
      <c r="H29" s="9" t="s">
        <v>23</v>
      </c>
      <c r="I29" s="2" t="s">
        <v>113</v>
      </c>
      <c r="J29" s="211" t="s">
        <v>111</v>
      </c>
      <c r="K29" s="2"/>
      <c r="L29" s="2" t="s">
        <v>20</v>
      </c>
      <c r="M29" s="2" t="s">
        <v>21</v>
      </c>
      <c r="N29" s="25" t="s">
        <v>217</v>
      </c>
      <c r="O29" s="335" t="s">
        <v>661</v>
      </c>
      <c r="P29" s="2">
        <v>4</v>
      </c>
      <c r="Q29" s="302">
        <v>10500</v>
      </c>
      <c r="R29" s="302">
        <v>10500</v>
      </c>
      <c r="S29" s="302">
        <f t="shared" si="0"/>
        <v>21000</v>
      </c>
      <c r="T29" s="2" t="s">
        <v>24</v>
      </c>
      <c r="U29" s="5" t="s">
        <v>115</v>
      </c>
      <c r="W29" s="275" t="s">
        <v>624</v>
      </c>
      <c r="X29" s="210" t="s">
        <v>462</v>
      </c>
      <c r="Y29" s="16" t="s">
        <v>463</v>
      </c>
      <c r="AA29" s="24" t="s">
        <v>479</v>
      </c>
      <c r="AB29" s="16" t="s">
        <v>334</v>
      </c>
      <c r="AC29" s="16" t="s">
        <v>305</v>
      </c>
      <c r="AD29" s="275" t="s">
        <v>115</v>
      </c>
      <c r="AE29" s="251" t="s">
        <v>462</v>
      </c>
      <c r="AF29" s="275" t="s">
        <v>643</v>
      </c>
      <c r="AG29" s="462" t="s">
        <v>764</v>
      </c>
    </row>
    <row r="30" spans="1:33">
      <c r="A30" s="2">
        <v>28</v>
      </c>
      <c r="B30" s="7" t="s">
        <v>18</v>
      </c>
      <c r="C30" s="6" t="s">
        <v>22</v>
      </c>
      <c r="D30" s="7" t="s">
        <v>19</v>
      </c>
      <c r="E30" s="7">
        <v>13</v>
      </c>
      <c r="F30" s="7" t="s">
        <v>20</v>
      </c>
      <c r="G30" s="7" t="s">
        <v>21</v>
      </c>
      <c r="H30" s="6" t="s">
        <v>23</v>
      </c>
      <c r="I30" s="2" t="s">
        <v>112</v>
      </c>
      <c r="J30" s="211" t="s">
        <v>111</v>
      </c>
      <c r="K30" s="2"/>
      <c r="L30" s="2" t="s">
        <v>20</v>
      </c>
      <c r="M30" s="2" t="s">
        <v>21</v>
      </c>
      <c r="N30" s="25" t="s">
        <v>218</v>
      </c>
      <c r="O30" s="335" t="s">
        <v>662</v>
      </c>
      <c r="P30" s="2">
        <v>4</v>
      </c>
      <c r="Q30" s="302">
        <v>11500</v>
      </c>
      <c r="R30" s="302">
        <v>11500</v>
      </c>
      <c r="S30" s="302">
        <f t="shared" si="0"/>
        <v>23000</v>
      </c>
      <c r="T30" s="2" t="s">
        <v>24</v>
      </c>
      <c r="U30" s="5" t="s">
        <v>115</v>
      </c>
      <c r="W30" s="275" t="s">
        <v>624</v>
      </c>
      <c r="X30" s="210" t="s">
        <v>462</v>
      </c>
      <c r="Y30" s="16" t="s">
        <v>463</v>
      </c>
      <c r="AA30" s="24" t="s">
        <v>479</v>
      </c>
      <c r="AB30" s="16" t="s">
        <v>329</v>
      </c>
      <c r="AC30" s="16" t="s">
        <v>305</v>
      </c>
      <c r="AD30" s="275" t="s">
        <v>115</v>
      </c>
      <c r="AE30" s="251" t="s">
        <v>462</v>
      </c>
      <c r="AF30" s="275" t="s">
        <v>643</v>
      </c>
      <c r="AG30" s="462" t="s">
        <v>764</v>
      </c>
    </row>
    <row r="31" spans="1:33">
      <c r="A31" s="2">
        <v>29</v>
      </c>
      <c r="B31" s="2" t="s">
        <v>18</v>
      </c>
      <c r="C31" s="8" t="s">
        <v>22</v>
      </c>
      <c r="D31" s="2" t="s">
        <v>19</v>
      </c>
      <c r="E31" s="2">
        <v>13</v>
      </c>
      <c r="F31" s="2" t="s">
        <v>20</v>
      </c>
      <c r="G31" s="2" t="s">
        <v>21</v>
      </c>
      <c r="H31" s="9" t="s">
        <v>23</v>
      </c>
      <c r="I31" s="2" t="s">
        <v>57</v>
      </c>
      <c r="J31" s="211" t="s">
        <v>58</v>
      </c>
      <c r="K31" s="2"/>
      <c r="L31" s="2" t="s">
        <v>20</v>
      </c>
      <c r="M31" s="2" t="s">
        <v>21</v>
      </c>
      <c r="N31" s="25" t="s">
        <v>219</v>
      </c>
      <c r="O31" s="335" t="s">
        <v>673</v>
      </c>
      <c r="P31" s="2">
        <v>0.3</v>
      </c>
      <c r="Q31" s="2">
        <v>1000</v>
      </c>
      <c r="R31" s="302">
        <f>300+700</f>
        <v>1000</v>
      </c>
      <c r="S31" s="302">
        <f t="shared" si="0"/>
        <v>2000</v>
      </c>
      <c r="T31" s="2" t="s">
        <v>24</v>
      </c>
      <c r="U31" s="5" t="s">
        <v>115</v>
      </c>
      <c r="W31" s="275" t="s">
        <v>624</v>
      </c>
      <c r="X31" s="210" t="s">
        <v>462</v>
      </c>
      <c r="Y31" s="16" t="s">
        <v>463</v>
      </c>
      <c r="AA31" s="24" t="s">
        <v>479</v>
      </c>
      <c r="AB31" s="16" t="s">
        <v>350</v>
      </c>
      <c r="AC31" s="16" t="s">
        <v>305</v>
      </c>
      <c r="AD31" s="275" t="s">
        <v>115</v>
      </c>
      <c r="AE31" s="251" t="s">
        <v>462</v>
      </c>
      <c r="AF31" s="275" t="s">
        <v>643</v>
      </c>
      <c r="AG31" s="462" t="s">
        <v>764</v>
      </c>
    </row>
    <row r="32" spans="1:33" ht="14.25" customHeight="1">
      <c r="A32" s="2">
        <v>30</v>
      </c>
      <c r="B32" s="7" t="s">
        <v>18</v>
      </c>
      <c r="C32" s="6" t="s">
        <v>22</v>
      </c>
      <c r="D32" s="7" t="s">
        <v>19</v>
      </c>
      <c r="E32" s="7">
        <v>13</v>
      </c>
      <c r="F32" s="7" t="s">
        <v>20</v>
      </c>
      <c r="G32" s="7" t="s">
        <v>21</v>
      </c>
      <c r="H32" s="6" t="s">
        <v>23</v>
      </c>
      <c r="I32" s="12" t="s">
        <v>57</v>
      </c>
      <c r="J32" s="211" t="s">
        <v>60</v>
      </c>
      <c r="K32" s="12" t="s">
        <v>104</v>
      </c>
      <c r="L32" s="12" t="s">
        <v>20</v>
      </c>
      <c r="M32" s="12" t="s">
        <v>21</v>
      </c>
      <c r="N32" s="25" t="s">
        <v>220</v>
      </c>
      <c r="O32" s="335" t="s">
        <v>674</v>
      </c>
      <c r="P32" s="2">
        <v>2.2999999999999998</v>
      </c>
      <c r="Q32" s="302">
        <v>7500</v>
      </c>
      <c r="R32" s="302">
        <v>7500</v>
      </c>
      <c r="S32" s="302">
        <f t="shared" si="0"/>
        <v>15000</v>
      </c>
      <c r="T32" s="2" t="s">
        <v>24</v>
      </c>
      <c r="U32" s="5" t="s">
        <v>115</v>
      </c>
      <c r="W32" s="275" t="s">
        <v>624</v>
      </c>
      <c r="X32" s="210" t="s">
        <v>462</v>
      </c>
      <c r="Y32" s="16" t="s">
        <v>463</v>
      </c>
      <c r="AA32" s="24" t="s">
        <v>479</v>
      </c>
      <c r="AB32" s="16" t="s">
        <v>335</v>
      </c>
      <c r="AC32" s="16" t="s">
        <v>305</v>
      </c>
      <c r="AD32" s="275" t="s">
        <v>115</v>
      </c>
      <c r="AE32" s="251" t="s">
        <v>462</v>
      </c>
      <c r="AF32" s="275" t="s">
        <v>643</v>
      </c>
      <c r="AG32" s="462" t="s">
        <v>764</v>
      </c>
    </row>
    <row r="33" spans="1:33" ht="14.25" customHeight="1">
      <c r="A33" s="2">
        <v>31</v>
      </c>
      <c r="B33" s="2" t="s">
        <v>18</v>
      </c>
      <c r="C33" s="8" t="s">
        <v>22</v>
      </c>
      <c r="D33" s="2" t="s">
        <v>19</v>
      </c>
      <c r="E33" s="2">
        <v>13</v>
      </c>
      <c r="F33" s="2" t="s">
        <v>20</v>
      </c>
      <c r="G33" s="2" t="s">
        <v>21</v>
      </c>
      <c r="H33" s="9" t="s">
        <v>23</v>
      </c>
      <c r="I33" s="2" t="s">
        <v>61</v>
      </c>
      <c r="J33" s="211" t="s">
        <v>62</v>
      </c>
      <c r="K33" s="2" t="s">
        <v>91</v>
      </c>
      <c r="L33" s="2" t="s">
        <v>20</v>
      </c>
      <c r="M33" s="2" t="s">
        <v>21</v>
      </c>
      <c r="N33" s="25" t="s">
        <v>221</v>
      </c>
      <c r="O33" s="335" t="s">
        <v>668</v>
      </c>
      <c r="P33" s="2">
        <v>1</v>
      </c>
      <c r="Q33" s="302">
        <v>1500</v>
      </c>
      <c r="R33" s="302">
        <v>1500</v>
      </c>
      <c r="S33" s="302">
        <f t="shared" si="0"/>
        <v>3000</v>
      </c>
      <c r="T33" s="2" t="s">
        <v>24</v>
      </c>
      <c r="U33" s="5" t="s">
        <v>115</v>
      </c>
      <c r="W33" s="275" t="s">
        <v>624</v>
      </c>
      <c r="X33" s="210" t="s">
        <v>462</v>
      </c>
      <c r="Y33" s="16" t="s">
        <v>463</v>
      </c>
      <c r="AA33" s="24" t="s">
        <v>479</v>
      </c>
      <c r="AB33" s="16" t="s">
        <v>314</v>
      </c>
      <c r="AC33" s="16" t="s">
        <v>305</v>
      </c>
      <c r="AD33" s="275" t="s">
        <v>115</v>
      </c>
      <c r="AE33" s="251" t="s">
        <v>462</v>
      </c>
      <c r="AF33" s="275" t="s">
        <v>643</v>
      </c>
      <c r="AG33" s="462" t="s">
        <v>764</v>
      </c>
    </row>
    <row r="34" spans="1:33">
      <c r="A34" s="2">
        <v>32</v>
      </c>
      <c r="B34" s="7" t="s">
        <v>18</v>
      </c>
      <c r="C34" s="6" t="s">
        <v>22</v>
      </c>
      <c r="D34" s="7" t="s">
        <v>19</v>
      </c>
      <c r="E34" s="7">
        <v>13</v>
      </c>
      <c r="F34" s="7" t="s">
        <v>20</v>
      </c>
      <c r="G34" s="7" t="s">
        <v>21</v>
      </c>
      <c r="H34" s="6" t="s">
        <v>23</v>
      </c>
      <c r="I34" s="2" t="s">
        <v>63</v>
      </c>
      <c r="J34" s="12" t="s">
        <v>64</v>
      </c>
      <c r="K34" s="2" t="s">
        <v>632</v>
      </c>
      <c r="L34" s="2" t="s">
        <v>20</v>
      </c>
      <c r="M34" s="2" t="s">
        <v>21</v>
      </c>
      <c r="N34" s="25" t="s">
        <v>222</v>
      </c>
      <c r="O34" s="10" t="s">
        <v>631</v>
      </c>
      <c r="P34" s="2">
        <v>1</v>
      </c>
      <c r="Q34" s="302">
        <v>2200</v>
      </c>
      <c r="R34" s="302">
        <v>2200</v>
      </c>
      <c r="S34" s="302">
        <f t="shared" si="0"/>
        <v>4400</v>
      </c>
      <c r="T34" s="2" t="s">
        <v>24</v>
      </c>
      <c r="U34" s="5" t="s">
        <v>115</v>
      </c>
      <c r="W34" s="275" t="s">
        <v>624</v>
      </c>
      <c r="X34" s="210" t="s">
        <v>462</v>
      </c>
      <c r="Y34" s="16" t="s">
        <v>463</v>
      </c>
      <c r="AA34" s="24" t="s">
        <v>479</v>
      </c>
      <c r="AB34" s="16" t="s">
        <v>323</v>
      </c>
      <c r="AC34" s="16" t="s">
        <v>305</v>
      </c>
      <c r="AD34" s="275" t="s">
        <v>115</v>
      </c>
      <c r="AE34" s="251" t="s">
        <v>462</v>
      </c>
      <c r="AF34" s="275" t="s">
        <v>643</v>
      </c>
      <c r="AG34" s="462" t="s">
        <v>764</v>
      </c>
    </row>
    <row r="35" spans="1:33" ht="14.25" customHeight="1">
      <c r="A35" s="2">
        <v>33</v>
      </c>
      <c r="B35" s="2" t="s">
        <v>18</v>
      </c>
      <c r="C35" s="8" t="s">
        <v>22</v>
      </c>
      <c r="D35" s="2" t="s">
        <v>19</v>
      </c>
      <c r="E35" s="2">
        <v>13</v>
      </c>
      <c r="F35" s="2" t="s">
        <v>20</v>
      </c>
      <c r="G35" s="2" t="s">
        <v>21</v>
      </c>
      <c r="H35" s="9" t="s">
        <v>23</v>
      </c>
      <c r="I35" s="2" t="s">
        <v>63</v>
      </c>
      <c r="J35" s="211" t="s">
        <v>34</v>
      </c>
      <c r="K35" s="2" t="s">
        <v>65</v>
      </c>
      <c r="L35" s="2" t="s">
        <v>20</v>
      </c>
      <c r="M35" s="2" t="s">
        <v>21</v>
      </c>
      <c r="N35" s="25" t="s">
        <v>223</v>
      </c>
      <c r="O35" s="335" t="s">
        <v>658</v>
      </c>
      <c r="P35" s="2">
        <v>1</v>
      </c>
      <c r="Q35" s="302">
        <v>1500</v>
      </c>
      <c r="R35" s="302">
        <v>1500</v>
      </c>
      <c r="S35" s="302">
        <f t="shared" si="0"/>
        <v>3000</v>
      </c>
      <c r="T35" s="2" t="s">
        <v>24</v>
      </c>
      <c r="U35" s="5" t="s">
        <v>115</v>
      </c>
      <c r="W35" s="275" t="s">
        <v>624</v>
      </c>
      <c r="X35" s="210" t="s">
        <v>462</v>
      </c>
      <c r="Y35" s="16" t="s">
        <v>463</v>
      </c>
      <c r="AA35" s="24" t="s">
        <v>479</v>
      </c>
      <c r="AB35" s="16" t="s">
        <v>309</v>
      </c>
      <c r="AC35" s="16" t="s">
        <v>305</v>
      </c>
      <c r="AD35" s="275" t="s">
        <v>115</v>
      </c>
      <c r="AE35" s="251" t="s">
        <v>462</v>
      </c>
      <c r="AF35" s="275" t="s">
        <v>643</v>
      </c>
      <c r="AG35" s="462" t="s">
        <v>764</v>
      </c>
    </row>
    <row r="36" spans="1:33" ht="14.25" customHeight="1">
      <c r="A36" s="2">
        <v>34</v>
      </c>
      <c r="B36" s="7" t="s">
        <v>18</v>
      </c>
      <c r="C36" s="6" t="s">
        <v>22</v>
      </c>
      <c r="D36" s="7" t="s">
        <v>19</v>
      </c>
      <c r="E36" s="7">
        <v>13</v>
      </c>
      <c r="F36" s="7" t="s">
        <v>20</v>
      </c>
      <c r="G36" s="7" t="s">
        <v>21</v>
      </c>
      <c r="H36" s="6" t="s">
        <v>23</v>
      </c>
      <c r="I36" s="2" t="s">
        <v>106</v>
      </c>
      <c r="J36" s="211" t="s">
        <v>36</v>
      </c>
      <c r="K36" s="2" t="s">
        <v>107</v>
      </c>
      <c r="L36" s="2" t="s">
        <v>20</v>
      </c>
      <c r="M36" s="2" t="s">
        <v>21</v>
      </c>
      <c r="N36" s="25" t="s">
        <v>224</v>
      </c>
      <c r="O36" s="335" t="s">
        <v>478</v>
      </c>
      <c r="P36" s="2">
        <v>1</v>
      </c>
      <c r="Q36" s="302">
        <v>4500</v>
      </c>
      <c r="R36" s="302">
        <v>4500</v>
      </c>
      <c r="S36" s="302">
        <f t="shared" si="0"/>
        <v>9000</v>
      </c>
      <c r="T36" s="2" t="s">
        <v>24</v>
      </c>
      <c r="U36" s="5" t="s">
        <v>115</v>
      </c>
      <c r="W36" s="275" t="s">
        <v>624</v>
      </c>
      <c r="X36" s="210" t="s">
        <v>462</v>
      </c>
      <c r="Y36" s="16" t="s">
        <v>463</v>
      </c>
      <c r="AA36" s="24" t="s">
        <v>479</v>
      </c>
      <c r="AB36" s="16" t="s">
        <v>342</v>
      </c>
      <c r="AC36" s="16" t="s">
        <v>305</v>
      </c>
      <c r="AD36" s="275" t="s">
        <v>115</v>
      </c>
      <c r="AE36" s="251" t="s">
        <v>462</v>
      </c>
      <c r="AF36" s="275" t="s">
        <v>643</v>
      </c>
      <c r="AG36" s="462" t="s">
        <v>764</v>
      </c>
    </row>
    <row r="37" spans="1:33">
      <c r="A37" s="2">
        <v>35</v>
      </c>
      <c r="B37" s="2" t="s">
        <v>18</v>
      </c>
      <c r="C37" s="8" t="s">
        <v>22</v>
      </c>
      <c r="D37" s="2" t="s">
        <v>19</v>
      </c>
      <c r="E37" s="2">
        <v>13</v>
      </c>
      <c r="F37" s="2" t="s">
        <v>20</v>
      </c>
      <c r="G37" s="2" t="s">
        <v>21</v>
      </c>
      <c r="H37" s="9" t="s">
        <v>23</v>
      </c>
      <c r="I37" s="2" t="s">
        <v>102</v>
      </c>
      <c r="J37" s="211" t="s">
        <v>66</v>
      </c>
      <c r="K37" s="2" t="s">
        <v>119</v>
      </c>
      <c r="L37" s="2" t="s">
        <v>20</v>
      </c>
      <c r="M37" s="2" t="s">
        <v>21</v>
      </c>
      <c r="N37" s="25" t="s">
        <v>225</v>
      </c>
      <c r="O37" s="335" t="s">
        <v>644</v>
      </c>
      <c r="P37" s="2">
        <v>7</v>
      </c>
      <c r="Q37" s="2">
        <v>10000</v>
      </c>
      <c r="R37" s="302">
        <v>10000</v>
      </c>
      <c r="S37" s="302">
        <f t="shared" si="0"/>
        <v>20000</v>
      </c>
      <c r="T37" s="2" t="s">
        <v>24</v>
      </c>
      <c r="U37" s="5" t="s">
        <v>115</v>
      </c>
      <c r="W37" s="275" t="s">
        <v>624</v>
      </c>
      <c r="X37" s="210" t="s">
        <v>462</v>
      </c>
      <c r="Y37" s="16" t="s">
        <v>463</v>
      </c>
      <c r="AA37" s="24" t="s">
        <v>479</v>
      </c>
      <c r="AB37" s="16" t="s">
        <v>349</v>
      </c>
      <c r="AC37" s="16" t="s">
        <v>305</v>
      </c>
      <c r="AD37" s="275" t="s">
        <v>115</v>
      </c>
      <c r="AE37" s="251" t="s">
        <v>462</v>
      </c>
      <c r="AF37" s="275" t="s">
        <v>643</v>
      </c>
      <c r="AG37" s="462" t="s">
        <v>764</v>
      </c>
    </row>
    <row r="38" spans="1:33">
      <c r="A38" s="2">
        <v>36</v>
      </c>
      <c r="B38" s="7" t="s">
        <v>18</v>
      </c>
      <c r="C38" s="6" t="s">
        <v>22</v>
      </c>
      <c r="D38" s="7" t="s">
        <v>19</v>
      </c>
      <c r="E38" s="7">
        <v>13</v>
      </c>
      <c r="F38" s="7" t="s">
        <v>20</v>
      </c>
      <c r="G38" s="7" t="s">
        <v>21</v>
      </c>
      <c r="H38" s="6" t="s">
        <v>23</v>
      </c>
      <c r="I38" s="2" t="s">
        <v>105</v>
      </c>
      <c r="J38" s="211" t="s">
        <v>33</v>
      </c>
      <c r="K38" s="2"/>
      <c r="L38" s="2" t="s">
        <v>20</v>
      </c>
      <c r="M38" s="2" t="s">
        <v>21</v>
      </c>
      <c r="N38" s="25" t="s">
        <v>226</v>
      </c>
      <c r="O38" s="335" t="s">
        <v>645</v>
      </c>
      <c r="P38" s="2">
        <v>6</v>
      </c>
      <c r="Q38" s="302">
        <v>30000</v>
      </c>
      <c r="R38" s="302">
        <v>30000</v>
      </c>
      <c r="S38" s="302">
        <f t="shared" si="0"/>
        <v>60000</v>
      </c>
      <c r="T38" s="2" t="s">
        <v>24</v>
      </c>
      <c r="U38" s="5" t="s">
        <v>115</v>
      </c>
      <c r="W38" s="275" t="s">
        <v>624</v>
      </c>
      <c r="X38" s="210" t="s">
        <v>462</v>
      </c>
      <c r="Y38" s="16" t="s">
        <v>463</v>
      </c>
      <c r="AA38" s="24" t="s">
        <v>479</v>
      </c>
      <c r="AB38" s="16" t="s">
        <v>333</v>
      </c>
      <c r="AC38" s="16" t="s">
        <v>305</v>
      </c>
      <c r="AD38" s="275" t="s">
        <v>115</v>
      </c>
      <c r="AE38" s="251" t="s">
        <v>462</v>
      </c>
      <c r="AF38" s="275" t="s">
        <v>643</v>
      </c>
      <c r="AG38" s="462" t="s">
        <v>764</v>
      </c>
    </row>
    <row r="39" spans="1:33">
      <c r="A39" s="2">
        <v>37</v>
      </c>
      <c r="B39" s="2" t="s">
        <v>18</v>
      </c>
      <c r="C39" s="8" t="s">
        <v>22</v>
      </c>
      <c r="D39" s="2" t="s">
        <v>19</v>
      </c>
      <c r="E39" s="2">
        <v>13</v>
      </c>
      <c r="F39" s="2" t="s">
        <v>20</v>
      </c>
      <c r="G39" s="2" t="s">
        <v>21</v>
      </c>
      <c r="H39" s="9" t="s">
        <v>23</v>
      </c>
      <c r="I39" s="2" t="s">
        <v>29</v>
      </c>
      <c r="J39" s="211" t="s">
        <v>67</v>
      </c>
      <c r="K39" s="2"/>
      <c r="L39" s="2" t="s">
        <v>20</v>
      </c>
      <c r="M39" s="2" t="s">
        <v>21</v>
      </c>
      <c r="N39" s="25" t="s">
        <v>227</v>
      </c>
      <c r="O39" s="335" t="s">
        <v>651</v>
      </c>
      <c r="P39" s="2">
        <v>5</v>
      </c>
      <c r="Q39" s="302">
        <f>6700+11900</f>
        <v>18600</v>
      </c>
      <c r="R39" s="302">
        <f>6700+11900</f>
        <v>18600</v>
      </c>
      <c r="S39" s="302">
        <f t="shared" si="0"/>
        <v>37200</v>
      </c>
      <c r="T39" s="2" t="s">
        <v>24</v>
      </c>
      <c r="U39" s="5" t="s">
        <v>115</v>
      </c>
      <c r="W39" s="275" t="s">
        <v>624</v>
      </c>
      <c r="X39" s="210" t="s">
        <v>462</v>
      </c>
      <c r="Y39" s="16" t="s">
        <v>463</v>
      </c>
      <c r="AA39" s="24" t="s">
        <v>479</v>
      </c>
      <c r="AB39" s="16" t="s">
        <v>325</v>
      </c>
      <c r="AC39" s="16" t="s">
        <v>305</v>
      </c>
      <c r="AD39" s="275" t="s">
        <v>115</v>
      </c>
      <c r="AE39" s="251" t="s">
        <v>462</v>
      </c>
      <c r="AF39" s="275" t="s">
        <v>643</v>
      </c>
      <c r="AG39" s="462" t="s">
        <v>764</v>
      </c>
    </row>
    <row r="40" spans="1:33" ht="14.25" customHeight="1">
      <c r="A40" s="2">
        <v>38</v>
      </c>
      <c r="B40" s="7" t="s">
        <v>18</v>
      </c>
      <c r="C40" s="6" t="s">
        <v>22</v>
      </c>
      <c r="D40" s="7" t="s">
        <v>19</v>
      </c>
      <c r="E40" s="7">
        <v>13</v>
      </c>
      <c r="F40" s="7" t="s">
        <v>20</v>
      </c>
      <c r="G40" s="7" t="s">
        <v>21</v>
      </c>
      <c r="H40" s="6" t="s">
        <v>23</v>
      </c>
      <c r="I40" s="2" t="s">
        <v>29</v>
      </c>
      <c r="J40" s="211" t="s">
        <v>68</v>
      </c>
      <c r="K40" s="2"/>
      <c r="L40" s="2" t="s">
        <v>20</v>
      </c>
      <c r="M40" s="2" t="s">
        <v>21</v>
      </c>
      <c r="N40" s="25" t="s">
        <v>228</v>
      </c>
      <c r="O40" s="335" t="s">
        <v>652</v>
      </c>
      <c r="P40" s="2">
        <v>10.5</v>
      </c>
      <c r="Q40" s="2">
        <v>26100</v>
      </c>
      <c r="R40" s="302">
        <v>26100</v>
      </c>
      <c r="S40" s="302">
        <f t="shared" si="0"/>
        <v>52200</v>
      </c>
      <c r="T40" s="2" t="s">
        <v>24</v>
      </c>
      <c r="U40" s="5" t="s">
        <v>115</v>
      </c>
      <c r="W40" s="275" t="s">
        <v>624</v>
      </c>
      <c r="X40" s="210" t="s">
        <v>462</v>
      </c>
      <c r="Y40" s="16" t="s">
        <v>463</v>
      </c>
      <c r="AA40" s="24" t="s">
        <v>479</v>
      </c>
      <c r="AB40" s="16" t="s">
        <v>312</v>
      </c>
      <c r="AC40" s="16" t="s">
        <v>313</v>
      </c>
      <c r="AD40" s="275" t="s">
        <v>115</v>
      </c>
      <c r="AE40" s="251" t="s">
        <v>462</v>
      </c>
      <c r="AF40" s="275" t="s">
        <v>643</v>
      </c>
      <c r="AG40" s="462" t="s">
        <v>764</v>
      </c>
    </row>
    <row r="41" spans="1:33">
      <c r="A41" s="2">
        <v>39</v>
      </c>
      <c r="B41" s="2" t="s">
        <v>18</v>
      </c>
      <c r="C41" s="8" t="s">
        <v>22</v>
      </c>
      <c r="D41" s="2" t="s">
        <v>19</v>
      </c>
      <c r="E41" s="2">
        <v>13</v>
      </c>
      <c r="F41" s="2" t="s">
        <v>20</v>
      </c>
      <c r="G41" s="2" t="s">
        <v>21</v>
      </c>
      <c r="H41" s="9" t="s">
        <v>23</v>
      </c>
      <c r="I41" s="2" t="s">
        <v>29</v>
      </c>
      <c r="J41" s="211" t="s">
        <v>69</v>
      </c>
      <c r="K41" s="2"/>
      <c r="L41" s="2" t="s">
        <v>20</v>
      </c>
      <c r="M41" s="2" t="s">
        <v>21</v>
      </c>
      <c r="N41" s="25" t="s">
        <v>229</v>
      </c>
      <c r="O41" s="335" t="s">
        <v>670</v>
      </c>
      <c r="P41" s="2">
        <v>4</v>
      </c>
      <c r="Q41" s="2">
        <v>10000</v>
      </c>
      <c r="R41" s="302">
        <v>10000</v>
      </c>
      <c r="S41" s="302">
        <f t="shared" si="0"/>
        <v>20000</v>
      </c>
      <c r="T41" s="2" t="s">
        <v>24</v>
      </c>
      <c r="U41" s="5" t="s">
        <v>115</v>
      </c>
      <c r="W41" s="275" t="s">
        <v>624</v>
      </c>
      <c r="X41" s="210" t="s">
        <v>462</v>
      </c>
      <c r="Y41" s="16" t="s">
        <v>463</v>
      </c>
      <c r="AA41" s="24" t="s">
        <v>479</v>
      </c>
      <c r="AB41" s="16" t="s">
        <v>343</v>
      </c>
      <c r="AC41" s="16" t="s">
        <v>305</v>
      </c>
      <c r="AD41" s="275" t="s">
        <v>115</v>
      </c>
      <c r="AE41" s="251" t="s">
        <v>462</v>
      </c>
      <c r="AF41" s="275" t="s">
        <v>643</v>
      </c>
      <c r="AG41" s="462" t="s">
        <v>764</v>
      </c>
    </row>
    <row r="42" spans="1:33">
      <c r="A42" s="2">
        <v>40</v>
      </c>
      <c r="B42" s="7" t="s">
        <v>18</v>
      </c>
      <c r="C42" s="6" t="s">
        <v>22</v>
      </c>
      <c r="D42" s="7" t="s">
        <v>19</v>
      </c>
      <c r="E42" s="7">
        <v>13</v>
      </c>
      <c r="F42" s="7" t="s">
        <v>20</v>
      </c>
      <c r="G42" s="7" t="s">
        <v>21</v>
      </c>
      <c r="H42" s="6" t="s">
        <v>23</v>
      </c>
      <c r="I42" s="2" t="s">
        <v>70</v>
      </c>
      <c r="J42" s="211" t="s">
        <v>56</v>
      </c>
      <c r="K42" s="2" t="s">
        <v>423</v>
      </c>
      <c r="L42" s="2" t="s">
        <v>20</v>
      </c>
      <c r="M42" s="2" t="s">
        <v>21</v>
      </c>
      <c r="N42" s="25" t="s">
        <v>230</v>
      </c>
      <c r="O42" s="335" t="s">
        <v>664</v>
      </c>
      <c r="P42" s="2">
        <v>3</v>
      </c>
      <c r="Q42" s="302">
        <f>2900+4150</f>
        <v>7050</v>
      </c>
      <c r="R42" s="302">
        <f>2900+4150</f>
        <v>7050</v>
      </c>
      <c r="S42" s="302">
        <f t="shared" si="0"/>
        <v>14100</v>
      </c>
      <c r="T42" s="2" t="s">
        <v>24</v>
      </c>
      <c r="U42" s="5" t="s">
        <v>115</v>
      </c>
      <c r="W42" s="275" t="s">
        <v>624</v>
      </c>
      <c r="X42" s="210" t="s">
        <v>462</v>
      </c>
      <c r="Y42" s="16" t="s">
        <v>463</v>
      </c>
      <c r="AA42" s="24" t="s">
        <v>479</v>
      </c>
      <c r="AB42" s="16" t="s">
        <v>318</v>
      </c>
      <c r="AC42" s="16" t="s">
        <v>305</v>
      </c>
      <c r="AD42" s="275" t="s">
        <v>115</v>
      </c>
      <c r="AE42" s="251" t="s">
        <v>462</v>
      </c>
      <c r="AF42" s="275" t="s">
        <v>643</v>
      </c>
      <c r="AG42" s="462" t="s">
        <v>764</v>
      </c>
    </row>
    <row r="43" spans="1:33">
      <c r="A43" s="2">
        <v>41</v>
      </c>
      <c r="B43" s="2" t="s">
        <v>18</v>
      </c>
      <c r="C43" s="8" t="s">
        <v>22</v>
      </c>
      <c r="D43" s="2" t="s">
        <v>19</v>
      </c>
      <c r="E43" s="2">
        <v>13</v>
      </c>
      <c r="F43" s="2" t="s">
        <v>20</v>
      </c>
      <c r="G43" s="2" t="s">
        <v>21</v>
      </c>
      <c r="H43" s="9" t="s">
        <v>23</v>
      </c>
      <c r="I43" s="2" t="s">
        <v>110</v>
      </c>
      <c r="J43" s="12" t="s">
        <v>48</v>
      </c>
      <c r="K43" s="12" t="s">
        <v>92</v>
      </c>
      <c r="L43" s="12" t="s">
        <v>20</v>
      </c>
      <c r="M43" s="12" t="s">
        <v>21</v>
      </c>
      <c r="N43" s="25" t="s">
        <v>231</v>
      </c>
      <c r="O43" s="335" t="s">
        <v>189</v>
      </c>
      <c r="P43" s="2">
        <v>1.5</v>
      </c>
      <c r="Q43" s="302">
        <f>272+528+200</f>
        <v>1000</v>
      </c>
      <c r="R43" s="302">
        <f>272+528+200</f>
        <v>1000</v>
      </c>
      <c r="S43" s="302">
        <f t="shared" si="0"/>
        <v>2000</v>
      </c>
      <c r="T43" s="2" t="s">
        <v>24</v>
      </c>
      <c r="U43" s="5" t="s">
        <v>115</v>
      </c>
      <c r="W43" s="275" t="s">
        <v>624</v>
      </c>
      <c r="X43" s="210" t="s">
        <v>462</v>
      </c>
      <c r="Y43" s="16" t="s">
        <v>463</v>
      </c>
      <c r="AA43" s="24" t="s">
        <v>479</v>
      </c>
      <c r="AB43" s="16" t="s">
        <v>324</v>
      </c>
      <c r="AC43" s="16" t="s">
        <v>311</v>
      </c>
      <c r="AD43" s="275" t="s">
        <v>115</v>
      </c>
      <c r="AE43" s="251" t="s">
        <v>462</v>
      </c>
      <c r="AF43" s="275" t="s">
        <v>643</v>
      </c>
      <c r="AG43" s="462" t="s">
        <v>764</v>
      </c>
    </row>
    <row r="44" spans="1:33">
      <c r="A44" s="2">
        <v>42</v>
      </c>
      <c r="B44" s="7" t="s">
        <v>18</v>
      </c>
      <c r="C44" s="6" t="s">
        <v>22</v>
      </c>
      <c r="D44" s="7" t="s">
        <v>19</v>
      </c>
      <c r="E44" s="7">
        <v>13</v>
      </c>
      <c r="F44" s="7" t="s">
        <v>20</v>
      </c>
      <c r="G44" s="7" t="s">
        <v>21</v>
      </c>
      <c r="H44" s="6" t="s">
        <v>23</v>
      </c>
      <c r="I44" s="2" t="s">
        <v>109</v>
      </c>
      <c r="J44" s="211" t="s">
        <v>39</v>
      </c>
      <c r="K44" s="2" t="s">
        <v>93</v>
      </c>
      <c r="L44" s="2" t="s">
        <v>20</v>
      </c>
      <c r="M44" s="2" t="s">
        <v>21</v>
      </c>
      <c r="N44" s="25" t="s">
        <v>232</v>
      </c>
      <c r="O44" s="335" t="s">
        <v>675</v>
      </c>
      <c r="P44" s="2">
        <v>1.5</v>
      </c>
      <c r="Q44" s="302">
        <f>950+1000</f>
        <v>1950</v>
      </c>
      <c r="R44" s="302">
        <f>950+1000</f>
        <v>1950</v>
      </c>
      <c r="S44" s="302">
        <f t="shared" si="0"/>
        <v>3900</v>
      </c>
      <c r="T44" s="2" t="s">
        <v>24</v>
      </c>
      <c r="U44" s="5" t="s">
        <v>115</v>
      </c>
      <c r="W44" s="275" t="s">
        <v>624</v>
      </c>
      <c r="X44" s="210" t="s">
        <v>462</v>
      </c>
      <c r="Y44" s="16" t="s">
        <v>463</v>
      </c>
      <c r="AA44" s="24" t="s">
        <v>479</v>
      </c>
      <c r="AB44" s="16" t="s">
        <v>310</v>
      </c>
      <c r="AC44" s="16" t="s">
        <v>311</v>
      </c>
      <c r="AD44" s="275" t="s">
        <v>115</v>
      </c>
      <c r="AE44" s="251" t="s">
        <v>462</v>
      </c>
      <c r="AF44" s="275" t="s">
        <v>643</v>
      </c>
      <c r="AG44" s="462" t="s">
        <v>764</v>
      </c>
    </row>
    <row r="45" spans="1:33">
      <c r="A45" s="2">
        <v>43</v>
      </c>
      <c r="B45" s="2" t="s">
        <v>18</v>
      </c>
      <c r="C45" s="8" t="s">
        <v>22</v>
      </c>
      <c r="D45" s="2" t="s">
        <v>19</v>
      </c>
      <c r="E45" s="2">
        <v>13</v>
      </c>
      <c r="F45" s="2" t="s">
        <v>20</v>
      </c>
      <c r="G45" s="2" t="s">
        <v>21</v>
      </c>
      <c r="H45" s="9" t="s">
        <v>23</v>
      </c>
      <c r="I45" s="2" t="s">
        <v>101</v>
      </c>
      <c r="J45" s="12" t="s">
        <v>71</v>
      </c>
      <c r="K45" s="12"/>
      <c r="L45" s="12" t="s">
        <v>20</v>
      </c>
      <c r="M45" s="12" t="s">
        <v>21</v>
      </c>
      <c r="N45" s="25" t="s">
        <v>233</v>
      </c>
      <c r="O45" s="10" t="s">
        <v>94</v>
      </c>
      <c r="P45" s="2">
        <v>2.5</v>
      </c>
      <c r="Q45" s="302">
        <f>7100</f>
        <v>7100</v>
      </c>
      <c r="R45" s="302">
        <f>7100</f>
        <v>7100</v>
      </c>
      <c r="S45" s="302">
        <f t="shared" si="0"/>
        <v>14200</v>
      </c>
      <c r="T45" s="2" t="s">
        <v>24</v>
      </c>
      <c r="U45" s="5" t="s">
        <v>115</v>
      </c>
      <c r="W45" s="275" t="s">
        <v>624</v>
      </c>
      <c r="X45" s="210" t="s">
        <v>462</v>
      </c>
      <c r="Y45" s="16" t="s">
        <v>463</v>
      </c>
      <c r="AA45" s="24" t="s">
        <v>479</v>
      </c>
      <c r="AB45" s="16" t="s">
        <v>366</v>
      </c>
      <c r="AC45" s="16" t="s">
        <v>367</v>
      </c>
      <c r="AD45" s="275" t="s">
        <v>115</v>
      </c>
      <c r="AE45" s="251" t="s">
        <v>462</v>
      </c>
      <c r="AF45" s="275" t="s">
        <v>643</v>
      </c>
      <c r="AG45" s="462" t="s">
        <v>764</v>
      </c>
    </row>
    <row r="46" spans="1:33">
      <c r="A46" s="2">
        <v>44</v>
      </c>
      <c r="B46" s="7" t="s">
        <v>18</v>
      </c>
      <c r="C46" s="6" t="s">
        <v>22</v>
      </c>
      <c r="D46" s="7" t="s">
        <v>19</v>
      </c>
      <c r="E46" s="7">
        <v>13</v>
      </c>
      <c r="F46" s="7" t="s">
        <v>20</v>
      </c>
      <c r="G46" s="7" t="s">
        <v>21</v>
      </c>
      <c r="H46" s="6" t="s">
        <v>23</v>
      </c>
      <c r="I46" s="12" t="s">
        <v>29</v>
      </c>
      <c r="J46" s="211" t="s">
        <v>72</v>
      </c>
      <c r="K46" s="12"/>
      <c r="L46" s="12" t="s">
        <v>20</v>
      </c>
      <c r="M46" s="12" t="s">
        <v>21</v>
      </c>
      <c r="N46" s="25" t="s">
        <v>234</v>
      </c>
      <c r="O46" s="335" t="s">
        <v>655</v>
      </c>
      <c r="P46" s="2">
        <v>0.5</v>
      </c>
      <c r="Q46" s="302">
        <f>990+2010</f>
        <v>3000</v>
      </c>
      <c r="R46" s="302">
        <f>990+2010</f>
        <v>3000</v>
      </c>
      <c r="S46" s="302">
        <f t="shared" si="0"/>
        <v>6000</v>
      </c>
      <c r="T46" s="2" t="s">
        <v>24</v>
      </c>
      <c r="U46" s="5" t="s">
        <v>115</v>
      </c>
      <c r="V46" s="18"/>
      <c r="W46" s="275" t="s">
        <v>624</v>
      </c>
      <c r="X46" s="210" t="s">
        <v>462</v>
      </c>
      <c r="Y46" s="16" t="s">
        <v>463</v>
      </c>
      <c r="Z46" s="23"/>
      <c r="AA46" s="24" t="s">
        <v>479</v>
      </c>
      <c r="AB46" s="16" t="s">
        <v>353</v>
      </c>
      <c r="AC46" s="16" t="s">
        <v>354</v>
      </c>
      <c r="AD46" s="275" t="s">
        <v>115</v>
      </c>
      <c r="AE46" s="251" t="s">
        <v>462</v>
      </c>
      <c r="AF46" s="275" t="s">
        <v>643</v>
      </c>
      <c r="AG46" s="462" t="s">
        <v>764</v>
      </c>
    </row>
    <row r="47" spans="1:33">
      <c r="A47" s="2">
        <v>45</v>
      </c>
      <c r="B47" s="2" t="s">
        <v>18</v>
      </c>
      <c r="C47" s="8" t="s">
        <v>22</v>
      </c>
      <c r="D47" s="2" t="s">
        <v>19</v>
      </c>
      <c r="E47" s="2">
        <v>13</v>
      </c>
      <c r="F47" s="2" t="s">
        <v>20</v>
      </c>
      <c r="G47" s="2" t="s">
        <v>21</v>
      </c>
      <c r="H47" s="9" t="s">
        <v>23</v>
      </c>
      <c r="I47" s="2" t="s">
        <v>29</v>
      </c>
      <c r="J47" s="12" t="s">
        <v>73</v>
      </c>
      <c r="K47" s="12" t="s">
        <v>122</v>
      </c>
      <c r="L47" s="2" t="s">
        <v>20</v>
      </c>
      <c r="M47" s="2" t="s">
        <v>21</v>
      </c>
      <c r="N47" s="25" t="s">
        <v>235</v>
      </c>
      <c r="O47" s="10" t="s">
        <v>95</v>
      </c>
      <c r="P47" s="2">
        <v>1.5</v>
      </c>
      <c r="Q47" s="302">
        <f>1500+3500</f>
        <v>5000</v>
      </c>
      <c r="R47" s="302">
        <f>1500+3500</f>
        <v>5000</v>
      </c>
      <c r="S47" s="302">
        <f t="shared" si="0"/>
        <v>10000</v>
      </c>
      <c r="T47" s="2" t="s">
        <v>24</v>
      </c>
      <c r="U47" s="5" t="s">
        <v>115</v>
      </c>
      <c r="V47" s="18"/>
      <c r="W47" s="275" t="s">
        <v>624</v>
      </c>
      <c r="X47" s="210" t="s">
        <v>462</v>
      </c>
      <c r="Y47" s="16" t="s">
        <v>463</v>
      </c>
      <c r="Z47" s="23"/>
      <c r="AA47" s="24" t="s">
        <v>479</v>
      </c>
      <c r="AB47" s="16" t="s">
        <v>355</v>
      </c>
      <c r="AC47" s="16" t="s">
        <v>354</v>
      </c>
      <c r="AD47" s="275" t="s">
        <v>115</v>
      </c>
      <c r="AE47" s="251" t="s">
        <v>462</v>
      </c>
      <c r="AF47" s="275" t="s">
        <v>643</v>
      </c>
      <c r="AG47" s="462" t="s">
        <v>764</v>
      </c>
    </row>
    <row r="48" spans="1:33" ht="15">
      <c r="A48" s="2">
        <v>46</v>
      </c>
      <c r="B48" s="7" t="s">
        <v>18</v>
      </c>
      <c r="C48" s="6" t="s">
        <v>22</v>
      </c>
      <c r="D48" s="7" t="s">
        <v>19</v>
      </c>
      <c r="E48" s="7">
        <v>13</v>
      </c>
      <c r="F48" s="7" t="s">
        <v>20</v>
      </c>
      <c r="G48" s="7" t="s">
        <v>21</v>
      </c>
      <c r="H48" s="6" t="s">
        <v>23</v>
      </c>
      <c r="I48" s="2" t="s">
        <v>108</v>
      </c>
      <c r="J48" s="12" t="s">
        <v>74</v>
      </c>
      <c r="K48" s="2"/>
      <c r="L48" s="2" t="s">
        <v>20</v>
      </c>
      <c r="M48" s="2" t="s">
        <v>21</v>
      </c>
      <c r="N48" s="25" t="s">
        <v>236</v>
      </c>
      <c r="O48" s="335" t="s">
        <v>656</v>
      </c>
      <c r="P48" s="2">
        <v>1.5</v>
      </c>
      <c r="Q48" s="302">
        <v>4500</v>
      </c>
      <c r="R48" s="302">
        <v>4500</v>
      </c>
      <c r="S48" s="302">
        <f t="shared" si="0"/>
        <v>9000</v>
      </c>
      <c r="T48" s="2" t="s">
        <v>24</v>
      </c>
      <c r="U48" s="85" t="s">
        <v>115</v>
      </c>
      <c r="V48" s="19"/>
      <c r="W48" s="275" t="s">
        <v>624</v>
      </c>
      <c r="X48" s="210" t="s">
        <v>462</v>
      </c>
      <c r="Y48" s="16" t="s">
        <v>463</v>
      </c>
      <c r="Z48" s="23"/>
      <c r="AA48" s="24" t="s">
        <v>479</v>
      </c>
      <c r="AB48" s="16" t="s">
        <v>364</v>
      </c>
      <c r="AC48" s="16" t="s">
        <v>365</v>
      </c>
      <c r="AD48" s="275" t="s">
        <v>115</v>
      </c>
      <c r="AE48" s="251" t="s">
        <v>462</v>
      </c>
      <c r="AF48" s="275" t="s">
        <v>643</v>
      </c>
      <c r="AG48" s="462" t="s">
        <v>764</v>
      </c>
    </row>
    <row r="49" spans="1:33">
      <c r="A49" s="2">
        <v>47</v>
      </c>
      <c r="B49" s="2" t="s">
        <v>18</v>
      </c>
      <c r="C49" s="8" t="s">
        <v>22</v>
      </c>
      <c r="D49" s="2" t="s">
        <v>19</v>
      </c>
      <c r="E49" s="2">
        <v>13</v>
      </c>
      <c r="F49" s="2" t="s">
        <v>20</v>
      </c>
      <c r="G49" s="2" t="s">
        <v>21</v>
      </c>
      <c r="H49" s="9" t="s">
        <v>23</v>
      </c>
      <c r="I49" s="2" t="s">
        <v>32</v>
      </c>
      <c r="J49" s="211" t="s">
        <v>36</v>
      </c>
      <c r="K49" s="2">
        <v>101</v>
      </c>
      <c r="L49" s="2" t="s">
        <v>20</v>
      </c>
      <c r="M49" s="2" t="s">
        <v>21</v>
      </c>
      <c r="N49" s="25" t="s">
        <v>237</v>
      </c>
      <c r="O49" s="10" t="s">
        <v>96</v>
      </c>
      <c r="P49" s="2">
        <v>0.5</v>
      </c>
      <c r="Q49" s="302">
        <v>350</v>
      </c>
      <c r="R49" s="302">
        <v>350</v>
      </c>
      <c r="S49" s="302">
        <f t="shared" si="0"/>
        <v>700</v>
      </c>
      <c r="T49" s="2" t="s">
        <v>24</v>
      </c>
      <c r="U49" s="5" t="s">
        <v>115</v>
      </c>
      <c r="V49" s="20"/>
      <c r="W49" s="275" t="s">
        <v>624</v>
      </c>
      <c r="X49" s="210" t="s">
        <v>462</v>
      </c>
      <c r="Y49" s="16" t="s">
        <v>463</v>
      </c>
      <c r="Z49" s="23"/>
      <c r="AA49" s="24" t="s">
        <v>479</v>
      </c>
      <c r="AB49" s="16" t="s">
        <v>356</v>
      </c>
      <c r="AC49" s="16" t="s">
        <v>354</v>
      </c>
      <c r="AD49" s="275" t="s">
        <v>115</v>
      </c>
      <c r="AE49" s="251" t="s">
        <v>462</v>
      </c>
      <c r="AF49" s="275" t="s">
        <v>643</v>
      </c>
      <c r="AG49" s="462" t="s">
        <v>764</v>
      </c>
    </row>
    <row r="50" spans="1:33">
      <c r="A50" s="2">
        <v>48</v>
      </c>
      <c r="B50" s="7" t="s">
        <v>18</v>
      </c>
      <c r="C50" s="6" t="s">
        <v>22</v>
      </c>
      <c r="D50" s="7" t="s">
        <v>19</v>
      </c>
      <c r="E50" s="7">
        <v>13</v>
      </c>
      <c r="F50" s="7" t="s">
        <v>20</v>
      </c>
      <c r="G50" s="7" t="s">
        <v>21</v>
      </c>
      <c r="H50" s="6" t="s">
        <v>23</v>
      </c>
      <c r="I50" s="2" t="s">
        <v>76</v>
      </c>
      <c r="J50" s="12" t="s">
        <v>75</v>
      </c>
      <c r="K50" s="2"/>
      <c r="L50" s="2" t="s">
        <v>20</v>
      </c>
      <c r="M50" s="2" t="s">
        <v>21</v>
      </c>
      <c r="N50" s="25" t="s">
        <v>238</v>
      </c>
      <c r="O50" s="335" t="s">
        <v>654</v>
      </c>
      <c r="P50" s="2">
        <v>20</v>
      </c>
      <c r="Q50" s="302">
        <v>78000</v>
      </c>
      <c r="R50" s="302">
        <v>78000</v>
      </c>
      <c r="S50" s="302">
        <f t="shared" si="0"/>
        <v>156000</v>
      </c>
      <c r="T50" s="2" t="s">
        <v>24</v>
      </c>
      <c r="U50" s="5" t="s">
        <v>115</v>
      </c>
      <c r="V50" s="17"/>
      <c r="W50" s="275" t="s">
        <v>624</v>
      </c>
      <c r="X50" s="210" t="s">
        <v>462</v>
      </c>
      <c r="Y50" s="16" t="s">
        <v>463</v>
      </c>
      <c r="Z50" s="23"/>
      <c r="AA50" s="24" t="s">
        <v>479</v>
      </c>
      <c r="AB50" s="16" t="s">
        <v>357</v>
      </c>
      <c r="AC50" s="16" t="s">
        <v>354</v>
      </c>
      <c r="AD50" s="275" t="s">
        <v>115</v>
      </c>
      <c r="AE50" s="251" t="s">
        <v>462</v>
      </c>
      <c r="AF50" s="275" t="s">
        <v>643</v>
      </c>
      <c r="AG50" s="462" t="s">
        <v>764</v>
      </c>
    </row>
    <row r="51" spans="1:33">
      <c r="A51" s="2">
        <v>49</v>
      </c>
      <c r="B51" s="2" t="s">
        <v>18</v>
      </c>
      <c r="C51" s="8" t="s">
        <v>22</v>
      </c>
      <c r="D51" s="2" t="s">
        <v>19</v>
      </c>
      <c r="E51" s="2">
        <v>13</v>
      </c>
      <c r="F51" s="2" t="s">
        <v>20</v>
      </c>
      <c r="G51" s="2" t="s">
        <v>21</v>
      </c>
      <c r="H51" s="9" t="s">
        <v>23</v>
      </c>
      <c r="I51" s="2" t="s">
        <v>123</v>
      </c>
      <c r="J51" s="211" t="s">
        <v>121</v>
      </c>
      <c r="K51" s="2"/>
      <c r="L51" s="2" t="s">
        <v>20</v>
      </c>
      <c r="M51" s="2" t="s">
        <v>21</v>
      </c>
      <c r="N51" s="25" t="s">
        <v>239</v>
      </c>
      <c r="O51" s="10" t="s">
        <v>125</v>
      </c>
      <c r="P51" s="2">
        <v>32</v>
      </c>
      <c r="Q51" s="302">
        <f>30000+25000</f>
        <v>55000</v>
      </c>
      <c r="R51" s="302">
        <f>30000+25000</f>
        <v>55000</v>
      </c>
      <c r="S51" s="302">
        <f t="shared" si="0"/>
        <v>110000</v>
      </c>
      <c r="T51" s="2" t="s">
        <v>88</v>
      </c>
      <c r="U51" s="5" t="s">
        <v>115</v>
      </c>
      <c r="V51" s="16"/>
      <c r="W51" s="275" t="s">
        <v>624</v>
      </c>
      <c r="X51" s="210" t="s">
        <v>462</v>
      </c>
      <c r="Y51" s="16" t="s">
        <v>463</v>
      </c>
      <c r="Z51" s="23"/>
      <c r="AA51" s="24" t="s">
        <v>479</v>
      </c>
      <c r="AB51" s="16" t="s">
        <v>371</v>
      </c>
      <c r="AC51" s="16" t="s">
        <v>363</v>
      </c>
      <c r="AD51" s="275" t="s">
        <v>115</v>
      </c>
      <c r="AE51" s="251" t="s">
        <v>462</v>
      </c>
      <c r="AF51" s="275" t="s">
        <v>643</v>
      </c>
      <c r="AG51" s="462" t="s">
        <v>764</v>
      </c>
    </row>
    <row r="52" spans="1:33">
      <c r="A52" s="2">
        <v>50</v>
      </c>
      <c r="B52" s="7" t="s">
        <v>18</v>
      </c>
      <c r="C52" s="6" t="s">
        <v>22</v>
      </c>
      <c r="D52" s="7" t="s">
        <v>19</v>
      </c>
      <c r="E52" s="7">
        <v>13</v>
      </c>
      <c r="F52" s="7" t="s">
        <v>20</v>
      </c>
      <c r="G52" s="7" t="s">
        <v>21</v>
      </c>
      <c r="H52" s="6" t="s">
        <v>23</v>
      </c>
      <c r="I52" s="2" t="s">
        <v>123</v>
      </c>
      <c r="J52" s="211" t="s">
        <v>62</v>
      </c>
      <c r="K52" s="2" t="s">
        <v>124</v>
      </c>
      <c r="L52" s="2" t="s">
        <v>20</v>
      </c>
      <c r="M52" s="2" t="s">
        <v>21</v>
      </c>
      <c r="N52" s="25" t="s">
        <v>240</v>
      </c>
      <c r="O52" s="10" t="s">
        <v>424</v>
      </c>
      <c r="P52" s="2">
        <v>1</v>
      </c>
      <c r="Q52" s="2">
        <v>3000</v>
      </c>
      <c r="R52" s="302">
        <v>3000</v>
      </c>
      <c r="S52" s="302">
        <f t="shared" si="0"/>
        <v>6000</v>
      </c>
      <c r="T52" s="2" t="s">
        <v>24</v>
      </c>
      <c r="U52" s="5" t="s">
        <v>115</v>
      </c>
      <c r="V52" s="16"/>
      <c r="W52" s="275" t="s">
        <v>624</v>
      </c>
      <c r="X52" s="210" t="s">
        <v>462</v>
      </c>
      <c r="Y52" s="16" t="s">
        <v>463</v>
      </c>
      <c r="Z52" s="23"/>
      <c r="AA52" s="24" t="s">
        <v>479</v>
      </c>
      <c r="AB52" s="16" t="s">
        <v>362</v>
      </c>
      <c r="AC52" s="16" t="s">
        <v>363</v>
      </c>
      <c r="AD52" s="275" t="s">
        <v>115</v>
      </c>
      <c r="AE52" s="251" t="s">
        <v>462</v>
      </c>
      <c r="AF52" s="275" t="s">
        <v>643</v>
      </c>
      <c r="AG52" s="462" t="s">
        <v>764</v>
      </c>
    </row>
    <row r="53" spans="1:33">
      <c r="A53" s="2">
        <v>51</v>
      </c>
      <c r="B53" s="2" t="s">
        <v>18</v>
      </c>
      <c r="C53" s="8" t="s">
        <v>22</v>
      </c>
      <c r="D53" s="2" t="s">
        <v>19</v>
      </c>
      <c r="E53" s="2">
        <v>13</v>
      </c>
      <c r="F53" s="2" t="s">
        <v>20</v>
      </c>
      <c r="G53" s="2" t="s">
        <v>21</v>
      </c>
      <c r="H53" s="9" t="s">
        <v>23</v>
      </c>
      <c r="I53" s="12" t="s">
        <v>184</v>
      </c>
      <c r="J53" s="211" t="s">
        <v>182</v>
      </c>
      <c r="K53" s="111"/>
      <c r="L53" s="2" t="s">
        <v>20</v>
      </c>
      <c r="M53" s="2" t="s">
        <v>21</v>
      </c>
      <c r="N53" s="25" t="s">
        <v>241</v>
      </c>
      <c r="O53" s="10" t="s">
        <v>185</v>
      </c>
      <c r="P53" s="2">
        <v>7</v>
      </c>
      <c r="Q53" s="302">
        <v>13800</v>
      </c>
      <c r="R53" s="302">
        <v>13800</v>
      </c>
      <c r="S53" s="302">
        <f t="shared" si="0"/>
        <v>27600</v>
      </c>
      <c r="T53" s="2" t="s">
        <v>24</v>
      </c>
      <c r="U53" s="5" t="s">
        <v>115</v>
      </c>
      <c r="V53" s="16"/>
      <c r="W53" s="275" t="s">
        <v>624</v>
      </c>
      <c r="X53" s="210" t="s">
        <v>462</v>
      </c>
      <c r="Y53" s="16" t="s">
        <v>463</v>
      </c>
      <c r="Z53" s="23"/>
      <c r="AA53" s="24" t="s">
        <v>479</v>
      </c>
      <c r="AB53" s="16" t="s">
        <v>358</v>
      </c>
      <c r="AC53" s="16" t="s">
        <v>359</v>
      </c>
      <c r="AD53" s="275" t="s">
        <v>115</v>
      </c>
      <c r="AE53" s="251" t="s">
        <v>462</v>
      </c>
      <c r="AF53" s="275" t="s">
        <v>643</v>
      </c>
      <c r="AG53" s="462" t="s">
        <v>764</v>
      </c>
    </row>
    <row r="54" spans="1:33">
      <c r="A54" s="2">
        <v>52</v>
      </c>
      <c r="B54" s="7" t="s">
        <v>18</v>
      </c>
      <c r="C54" s="6" t="s">
        <v>22</v>
      </c>
      <c r="D54" s="7" t="s">
        <v>19</v>
      </c>
      <c r="E54" s="7">
        <v>13</v>
      </c>
      <c r="F54" s="7" t="s">
        <v>20</v>
      </c>
      <c r="G54" s="7" t="s">
        <v>21</v>
      </c>
      <c r="H54" s="6" t="s">
        <v>23</v>
      </c>
      <c r="I54" s="211" t="s">
        <v>29</v>
      </c>
      <c r="J54" s="12" t="s">
        <v>183</v>
      </c>
      <c r="K54" s="201"/>
      <c r="L54" s="12" t="s">
        <v>20</v>
      </c>
      <c r="M54" s="12" t="s">
        <v>21</v>
      </c>
      <c r="N54" s="25" t="s">
        <v>242</v>
      </c>
      <c r="O54" s="10" t="s">
        <v>188</v>
      </c>
      <c r="P54" s="2">
        <v>7</v>
      </c>
      <c r="Q54" s="2">
        <v>10000</v>
      </c>
      <c r="R54" s="302">
        <v>10000</v>
      </c>
      <c r="S54" s="302">
        <f t="shared" si="0"/>
        <v>20000</v>
      </c>
      <c r="T54" s="2" t="s">
        <v>24</v>
      </c>
      <c r="U54" s="5" t="s">
        <v>115</v>
      </c>
      <c r="V54" s="16"/>
      <c r="W54" s="275" t="s">
        <v>624</v>
      </c>
      <c r="X54" s="210" t="s">
        <v>462</v>
      </c>
      <c r="Y54" s="16" t="s">
        <v>463</v>
      </c>
      <c r="Z54" s="23"/>
      <c r="AA54" s="24" t="s">
        <v>479</v>
      </c>
      <c r="AD54" s="275" t="s">
        <v>115</v>
      </c>
      <c r="AE54" s="251" t="s">
        <v>462</v>
      </c>
      <c r="AF54" s="275" t="s">
        <v>643</v>
      </c>
      <c r="AG54" s="462" t="s">
        <v>764</v>
      </c>
    </row>
    <row r="55" spans="1:33">
      <c r="A55" s="2">
        <v>53</v>
      </c>
      <c r="B55" s="7" t="s">
        <v>18</v>
      </c>
      <c r="C55" s="8" t="s">
        <v>22</v>
      </c>
      <c r="D55" s="7" t="s">
        <v>19</v>
      </c>
      <c r="E55" s="7">
        <v>13</v>
      </c>
      <c r="F55" s="2" t="s">
        <v>20</v>
      </c>
      <c r="G55" s="7" t="s">
        <v>21</v>
      </c>
      <c r="H55" s="107" t="s">
        <v>23</v>
      </c>
      <c r="I55" s="7" t="s">
        <v>29</v>
      </c>
      <c r="J55" s="340" t="s">
        <v>281</v>
      </c>
      <c r="K55" s="112"/>
      <c r="L55" s="7" t="s">
        <v>20</v>
      </c>
      <c r="M55" s="7" t="s">
        <v>21</v>
      </c>
      <c r="N55" s="108" t="s">
        <v>282</v>
      </c>
      <c r="O55" s="339" t="s">
        <v>659</v>
      </c>
      <c r="P55" s="7">
        <v>7</v>
      </c>
      <c r="Q55" s="7">
        <v>18500</v>
      </c>
      <c r="R55" s="304">
        <v>18500</v>
      </c>
      <c r="S55" s="302">
        <f t="shared" si="0"/>
        <v>37000</v>
      </c>
      <c r="T55" s="7" t="s">
        <v>88</v>
      </c>
      <c r="U55" s="5" t="s">
        <v>115</v>
      </c>
      <c r="V55" s="16"/>
      <c r="W55" s="275" t="s">
        <v>624</v>
      </c>
      <c r="X55" s="210" t="s">
        <v>462</v>
      </c>
      <c r="Y55" s="16" t="s">
        <v>463</v>
      </c>
      <c r="Z55" s="23"/>
      <c r="AA55" s="24" t="s">
        <v>479</v>
      </c>
      <c r="AB55" s="16" t="s">
        <v>360</v>
      </c>
      <c r="AC55" s="16" t="s">
        <v>361</v>
      </c>
      <c r="AD55" s="275" t="s">
        <v>115</v>
      </c>
      <c r="AE55" s="251" t="s">
        <v>462</v>
      </c>
      <c r="AF55" s="275" t="s">
        <v>643</v>
      </c>
      <c r="AG55" s="462" t="s">
        <v>764</v>
      </c>
    </row>
    <row r="56" spans="1:33" ht="15">
      <c r="A56" s="2">
        <v>54</v>
      </c>
      <c r="B56" s="2" t="s">
        <v>18</v>
      </c>
      <c r="C56" s="6" t="s">
        <v>22</v>
      </c>
      <c r="D56" s="2" t="s">
        <v>19</v>
      </c>
      <c r="E56" s="2">
        <v>13</v>
      </c>
      <c r="F56" s="7" t="s">
        <v>20</v>
      </c>
      <c r="G56" s="2" t="s">
        <v>21</v>
      </c>
      <c r="H56" s="9" t="s">
        <v>23</v>
      </c>
      <c r="I56" s="2" t="s">
        <v>29</v>
      </c>
      <c r="J56" s="336" t="s">
        <v>277</v>
      </c>
      <c r="K56" s="109" t="s">
        <v>278</v>
      </c>
      <c r="L56" s="2" t="s">
        <v>20</v>
      </c>
      <c r="M56" s="2" t="s">
        <v>21</v>
      </c>
      <c r="N56" s="110" t="s">
        <v>276</v>
      </c>
      <c r="O56" s="108" t="s">
        <v>299</v>
      </c>
      <c r="P56" s="113">
        <v>2</v>
      </c>
      <c r="Q56" s="113">
        <v>6000</v>
      </c>
      <c r="R56" s="305">
        <v>6000</v>
      </c>
      <c r="S56" s="302">
        <f t="shared" si="0"/>
        <v>12000</v>
      </c>
      <c r="T56" s="110" t="s">
        <v>24</v>
      </c>
      <c r="U56" s="5" t="s">
        <v>115</v>
      </c>
      <c r="V56" s="16"/>
      <c r="W56" s="275" t="s">
        <v>624</v>
      </c>
      <c r="X56" s="210" t="s">
        <v>462</v>
      </c>
      <c r="Y56" s="16" t="s">
        <v>463</v>
      </c>
      <c r="Z56" s="23"/>
      <c r="AA56" s="24" t="s">
        <v>479</v>
      </c>
      <c r="AB56" s="16"/>
      <c r="AD56" s="275" t="s">
        <v>115</v>
      </c>
      <c r="AE56" s="251" t="s">
        <v>462</v>
      </c>
      <c r="AF56" s="275" t="s">
        <v>643</v>
      </c>
      <c r="AG56" s="462" t="s">
        <v>764</v>
      </c>
    </row>
    <row r="57" spans="1:33" ht="15">
      <c r="A57" s="2">
        <v>55</v>
      </c>
      <c r="B57" s="7" t="s">
        <v>18</v>
      </c>
      <c r="C57" s="8" t="s">
        <v>22</v>
      </c>
      <c r="D57" s="7" t="s">
        <v>19</v>
      </c>
      <c r="E57" s="7">
        <v>13</v>
      </c>
      <c r="F57" s="2" t="s">
        <v>20</v>
      </c>
      <c r="G57" s="7" t="s">
        <v>21</v>
      </c>
      <c r="H57" s="107" t="s">
        <v>23</v>
      </c>
      <c r="I57" s="2" t="s">
        <v>29</v>
      </c>
      <c r="J57" s="211" t="s">
        <v>280</v>
      </c>
      <c r="K57" s="129" t="s">
        <v>297</v>
      </c>
      <c r="L57" s="114" t="s">
        <v>20</v>
      </c>
      <c r="M57" s="12" t="s">
        <v>21</v>
      </c>
      <c r="N57" s="130" t="s">
        <v>446</v>
      </c>
      <c r="O57" s="108" t="s">
        <v>300</v>
      </c>
      <c r="P57" s="113">
        <v>13</v>
      </c>
      <c r="Q57" s="113">
        <v>4000</v>
      </c>
      <c r="R57" s="305">
        <v>4000</v>
      </c>
      <c r="S57" s="302">
        <f t="shared" si="0"/>
        <v>8000</v>
      </c>
      <c r="T57" s="110" t="s">
        <v>24</v>
      </c>
      <c r="U57" s="5" t="s">
        <v>115</v>
      </c>
      <c r="V57" s="16"/>
      <c r="W57" s="275" t="s">
        <v>624</v>
      </c>
      <c r="X57" s="210" t="s">
        <v>462</v>
      </c>
      <c r="Y57" s="16" t="s">
        <v>463</v>
      </c>
      <c r="Z57" s="23"/>
      <c r="AA57" s="24" t="s">
        <v>479</v>
      </c>
      <c r="AB57" s="16"/>
      <c r="AD57" s="275" t="s">
        <v>115</v>
      </c>
      <c r="AE57" s="251" t="s">
        <v>462</v>
      </c>
      <c r="AF57" s="275" t="s">
        <v>643</v>
      </c>
      <c r="AG57" s="462" t="s">
        <v>764</v>
      </c>
    </row>
    <row r="58" spans="1:33" ht="15">
      <c r="A58" s="2">
        <v>56</v>
      </c>
      <c r="B58" s="2" t="s">
        <v>18</v>
      </c>
      <c r="C58" s="6" t="s">
        <v>22</v>
      </c>
      <c r="D58" s="2" t="s">
        <v>19</v>
      </c>
      <c r="E58" s="7">
        <v>13</v>
      </c>
      <c r="F58" s="7" t="s">
        <v>20</v>
      </c>
      <c r="G58" s="2" t="s">
        <v>21</v>
      </c>
      <c r="H58" s="116" t="s">
        <v>23</v>
      </c>
      <c r="I58" s="2" t="s">
        <v>101</v>
      </c>
      <c r="J58" s="211" t="s">
        <v>279</v>
      </c>
      <c r="K58" s="129" t="s">
        <v>295</v>
      </c>
      <c r="L58" s="12" t="s">
        <v>20</v>
      </c>
      <c r="M58" s="12" t="s">
        <v>21</v>
      </c>
      <c r="N58" s="25" t="s">
        <v>298</v>
      </c>
      <c r="O58" s="335" t="s">
        <v>619</v>
      </c>
      <c r="P58" s="113">
        <v>21</v>
      </c>
      <c r="Q58" s="113">
        <v>48000</v>
      </c>
      <c r="R58" s="305">
        <v>48000</v>
      </c>
      <c r="S58" s="302">
        <f t="shared" si="0"/>
        <v>96000</v>
      </c>
      <c r="T58" s="110" t="s">
        <v>88</v>
      </c>
      <c r="U58" s="5" t="s">
        <v>115</v>
      </c>
      <c r="V58" s="16"/>
      <c r="W58" s="275" t="s">
        <v>624</v>
      </c>
      <c r="X58" s="210" t="s">
        <v>462</v>
      </c>
      <c r="Y58" s="16" t="s">
        <v>463</v>
      </c>
      <c r="Z58" s="23"/>
      <c r="AA58" s="24" t="s">
        <v>479</v>
      </c>
      <c r="AB58" s="16"/>
      <c r="AD58" s="275" t="s">
        <v>115</v>
      </c>
      <c r="AE58" s="251" t="s">
        <v>462</v>
      </c>
      <c r="AF58" s="275" t="s">
        <v>643</v>
      </c>
      <c r="AG58" s="462" t="s">
        <v>764</v>
      </c>
    </row>
    <row r="59" spans="1:33" ht="15">
      <c r="A59" s="2">
        <v>57</v>
      </c>
      <c r="B59" s="2" t="s">
        <v>18</v>
      </c>
      <c r="C59" s="8" t="s">
        <v>22</v>
      </c>
      <c r="D59" s="2" t="s">
        <v>19</v>
      </c>
      <c r="E59" s="2">
        <v>13</v>
      </c>
      <c r="F59" s="2" t="s">
        <v>20</v>
      </c>
      <c r="G59" s="2" t="s">
        <v>21</v>
      </c>
      <c r="H59" s="116" t="s">
        <v>23</v>
      </c>
      <c r="I59" s="2" t="s">
        <v>29</v>
      </c>
      <c r="J59" s="211" t="s">
        <v>373</v>
      </c>
      <c r="K59" s="129" t="s">
        <v>374</v>
      </c>
      <c r="L59" s="114" t="s">
        <v>20</v>
      </c>
      <c r="M59" s="12" t="s">
        <v>21</v>
      </c>
      <c r="N59" s="25" t="s">
        <v>372</v>
      </c>
      <c r="O59" s="25" t="s">
        <v>375</v>
      </c>
      <c r="P59" s="113">
        <v>1.5</v>
      </c>
      <c r="Q59" s="305">
        <v>1800</v>
      </c>
      <c r="R59" s="305">
        <v>1800</v>
      </c>
      <c r="S59" s="302">
        <f t="shared" si="0"/>
        <v>3600</v>
      </c>
      <c r="T59" s="137" t="s">
        <v>24</v>
      </c>
      <c r="U59" s="5" t="s">
        <v>115</v>
      </c>
      <c r="V59" s="16"/>
      <c r="W59" s="275" t="s">
        <v>624</v>
      </c>
      <c r="X59" s="210" t="s">
        <v>462</v>
      </c>
      <c r="Y59" s="16" t="s">
        <v>463</v>
      </c>
      <c r="AA59" s="24" t="s">
        <v>479</v>
      </c>
      <c r="AB59" s="16"/>
      <c r="AD59" s="275" t="s">
        <v>115</v>
      </c>
      <c r="AE59" s="251" t="s">
        <v>462</v>
      </c>
      <c r="AF59" s="275" t="s">
        <v>643</v>
      </c>
      <c r="AG59" s="462" t="s">
        <v>764</v>
      </c>
    </row>
    <row r="60" spans="1:33" ht="15" customHeight="1">
      <c r="A60" s="2">
        <v>58</v>
      </c>
      <c r="B60" s="2" t="s">
        <v>18</v>
      </c>
      <c r="C60" s="6" t="s">
        <v>22</v>
      </c>
      <c r="D60" s="2" t="s">
        <v>19</v>
      </c>
      <c r="E60" s="7">
        <v>13</v>
      </c>
      <c r="F60" s="7" t="s">
        <v>20</v>
      </c>
      <c r="G60" s="2" t="s">
        <v>21</v>
      </c>
      <c r="H60" s="116" t="s">
        <v>23</v>
      </c>
      <c r="I60" s="2" t="s">
        <v>378</v>
      </c>
      <c r="J60" s="337" t="s">
        <v>379</v>
      </c>
      <c r="K60" s="138"/>
      <c r="L60" s="12" t="s">
        <v>20</v>
      </c>
      <c r="M60" s="12" t="s">
        <v>21</v>
      </c>
      <c r="N60" s="25" t="s">
        <v>380</v>
      </c>
      <c r="O60" s="334">
        <v>91688228</v>
      </c>
      <c r="P60" s="139">
        <v>10.5</v>
      </c>
      <c r="Q60" s="139">
        <v>9150</v>
      </c>
      <c r="R60" s="306">
        <v>9150</v>
      </c>
      <c r="S60" s="302">
        <f t="shared" si="0"/>
        <v>18300</v>
      </c>
      <c r="T60" s="137" t="s">
        <v>24</v>
      </c>
      <c r="U60" s="5" t="s">
        <v>115</v>
      </c>
      <c r="W60" s="275" t="s">
        <v>624</v>
      </c>
      <c r="X60" s="210" t="s">
        <v>462</v>
      </c>
      <c r="Y60" s="16" t="s">
        <v>463</v>
      </c>
      <c r="AA60" s="24" t="s">
        <v>479</v>
      </c>
      <c r="AB60" s="16"/>
      <c r="AD60" s="275" t="s">
        <v>115</v>
      </c>
      <c r="AE60" s="251" t="s">
        <v>462</v>
      </c>
      <c r="AF60" s="275" t="s">
        <v>643</v>
      </c>
      <c r="AG60" s="462" t="s">
        <v>764</v>
      </c>
    </row>
    <row r="61" spans="1:33" ht="15">
      <c r="A61" s="2">
        <v>59</v>
      </c>
      <c r="B61" s="2" t="s">
        <v>18</v>
      </c>
      <c r="C61" s="8" t="s">
        <v>22</v>
      </c>
      <c r="D61" s="2" t="s">
        <v>19</v>
      </c>
      <c r="E61" s="7">
        <v>13</v>
      </c>
      <c r="F61" s="2" t="s">
        <v>20</v>
      </c>
      <c r="G61" s="2" t="s">
        <v>21</v>
      </c>
      <c r="H61" s="116" t="s">
        <v>23</v>
      </c>
      <c r="I61" s="2" t="s">
        <v>409</v>
      </c>
      <c r="J61" s="211" t="s">
        <v>410</v>
      </c>
      <c r="K61" s="162"/>
      <c r="L61" s="114" t="s">
        <v>20</v>
      </c>
      <c r="M61" s="12" t="s">
        <v>21</v>
      </c>
      <c r="N61" s="25" t="s">
        <v>413</v>
      </c>
      <c r="O61" s="334">
        <v>95521727</v>
      </c>
      <c r="P61" s="163">
        <v>2</v>
      </c>
      <c r="Q61" s="163">
        <v>5100</v>
      </c>
      <c r="R61" s="305">
        <v>5100</v>
      </c>
      <c r="S61" s="302">
        <f t="shared" si="0"/>
        <v>10200</v>
      </c>
      <c r="T61" s="137" t="s">
        <v>88</v>
      </c>
      <c r="U61" s="5" t="s">
        <v>115</v>
      </c>
      <c r="W61" s="275" t="s">
        <v>624</v>
      </c>
      <c r="X61" s="210" t="s">
        <v>462</v>
      </c>
      <c r="Y61" s="16" t="s">
        <v>463</v>
      </c>
      <c r="AA61" s="24" t="s">
        <v>479</v>
      </c>
      <c r="AD61" s="275" t="s">
        <v>115</v>
      </c>
      <c r="AE61" s="251" t="s">
        <v>462</v>
      </c>
      <c r="AF61" s="275" t="s">
        <v>643</v>
      </c>
      <c r="AG61" s="462" t="s">
        <v>764</v>
      </c>
    </row>
    <row r="62" spans="1:33" ht="15">
      <c r="A62" s="2">
        <v>60</v>
      </c>
      <c r="B62" s="2" t="s">
        <v>18</v>
      </c>
      <c r="C62" s="6" t="s">
        <v>22</v>
      </c>
      <c r="D62" s="2" t="s">
        <v>19</v>
      </c>
      <c r="E62" s="2">
        <v>13</v>
      </c>
      <c r="F62" s="7" t="s">
        <v>20</v>
      </c>
      <c r="G62" s="2" t="s">
        <v>21</v>
      </c>
      <c r="H62" s="116" t="s">
        <v>23</v>
      </c>
      <c r="I62" s="2" t="s">
        <v>447</v>
      </c>
      <c r="J62" s="211" t="s">
        <v>411</v>
      </c>
      <c r="K62" s="162"/>
      <c r="L62" s="12" t="s">
        <v>20</v>
      </c>
      <c r="M62" s="12" t="s">
        <v>21</v>
      </c>
      <c r="N62" s="25" t="s">
        <v>412</v>
      </c>
      <c r="O62" s="136">
        <v>83782014</v>
      </c>
      <c r="P62" s="163">
        <v>1.5</v>
      </c>
      <c r="Q62" s="163">
        <v>3400</v>
      </c>
      <c r="R62" s="163">
        <v>3400</v>
      </c>
      <c r="S62" s="302">
        <f t="shared" si="0"/>
        <v>6800</v>
      </c>
      <c r="T62" s="137" t="s">
        <v>24</v>
      </c>
      <c r="U62" s="5" t="s">
        <v>115</v>
      </c>
      <c r="W62" s="275" t="s">
        <v>624</v>
      </c>
      <c r="X62" s="210" t="s">
        <v>462</v>
      </c>
      <c r="Y62" s="16" t="s">
        <v>463</v>
      </c>
      <c r="AA62" s="24" t="s">
        <v>479</v>
      </c>
      <c r="AD62" s="275" t="s">
        <v>115</v>
      </c>
      <c r="AE62" s="251" t="s">
        <v>462</v>
      </c>
      <c r="AF62" s="275" t="s">
        <v>643</v>
      </c>
      <c r="AG62" s="462" t="s">
        <v>764</v>
      </c>
    </row>
    <row r="63" spans="1:33" ht="15">
      <c r="A63" s="2">
        <v>61</v>
      </c>
      <c r="B63" s="2" t="s">
        <v>18</v>
      </c>
      <c r="C63" s="8" t="s">
        <v>22</v>
      </c>
      <c r="D63" s="2" t="s">
        <v>19</v>
      </c>
      <c r="E63" s="7">
        <v>13</v>
      </c>
      <c r="F63" s="2" t="s">
        <v>20</v>
      </c>
      <c r="G63" s="2" t="s">
        <v>21</v>
      </c>
      <c r="H63" s="116" t="s">
        <v>23</v>
      </c>
      <c r="I63" s="2" t="s">
        <v>415</v>
      </c>
      <c r="J63" s="211" t="s">
        <v>149</v>
      </c>
      <c r="K63" s="162"/>
      <c r="L63" s="12" t="s">
        <v>20</v>
      </c>
      <c r="M63" s="12" t="s">
        <v>21</v>
      </c>
      <c r="N63" s="25" t="s">
        <v>414</v>
      </c>
      <c r="O63" s="164">
        <v>83786216</v>
      </c>
      <c r="P63" s="163">
        <v>1.5</v>
      </c>
      <c r="Q63" s="163">
        <v>2200</v>
      </c>
      <c r="R63" s="305">
        <v>2200</v>
      </c>
      <c r="S63" s="302">
        <f t="shared" si="0"/>
        <v>4400</v>
      </c>
      <c r="T63" s="137" t="s">
        <v>24</v>
      </c>
      <c r="U63" s="5" t="s">
        <v>115</v>
      </c>
      <c r="W63" s="275" t="s">
        <v>624</v>
      </c>
      <c r="X63" s="210" t="s">
        <v>462</v>
      </c>
      <c r="Y63" s="16" t="s">
        <v>463</v>
      </c>
      <c r="AA63" s="24" t="s">
        <v>479</v>
      </c>
      <c r="AD63" s="275" t="s">
        <v>115</v>
      </c>
      <c r="AE63" s="251" t="s">
        <v>462</v>
      </c>
      <c r="AF63" s="275" t="s">
        <v>643</v>
      </c>
      <c r="AG63" s="462" t="s">
        <v>764</v>
      </c>
    </row>
    <row r="64" spans="1:33">
      <c r="A64" s="2">
        <v>62</v>
      </c>
      <c r="B64" s="2" t="s">
        <v>18</v>
      </c>
      <c r="C64" s="116" t="s">
        <v>22</v>
      </c>
      <c r="D64" s="2" t="s">
        <v>19</v>
      </c>
      <c r="E64" s="2">
        <v>13</v>
      </c>
      <c r="F64" s="2" t="s">
        <v>20</v>
      </c>
      <c r="G64" s="2" t="s">
        <v>21</v>
      </c>
      <c r="H64" s="116" t="s">
        <v>23</v>
      </c>
      <c r="I64" s="136" t="s">
        <v>418</v>
      </c>
      <c r="J64" s="336" t="s">
        <v>54</v>
      </c>
      <c r="K64" s="136" t="s">
        <v>416</v>
      </c>
      <c r="L64" s="12" t="s">
        <v>20</v>
      </c>
      <c r="M64" s="12" t="s">
        <v>21</v>
      </c>
      <c r="N64" s="164" t="s">
        <v>417</v>
      </c>
      <c r="O64" s="136">
        <v>91378454</v>
      </c>
      <c r="P64" s="136">
        <v>5</v>
      </c>
      <c r="Q64" s="136">
        <v>20000</v>
      </c>
      <c r="R64" s="305">
        <v>20000</v>
      </c>
      <c r="S64" s="302">
        <f t="shared" si="0"/>
        <v>40000</v>
      </c>
      <c r="T64" s="137" t="s">
        <v>24</v>
      </c>
      <c r="U64" s="5" t="s">
        <v>115</v>
      </c>
      <c r="W64" s="275" t="s">
        <v>624</v>
      </c>
      <c r="X64" s="210" t="s">
        <v>462</v>
      </c>
      <c r="Y64" s="16" t="s">
        <v>463</v>
      </c>
      <c r="AA64" s="24" t="s">
        <v>479</v>
      </c>
      <c r="AD64" s="275" t="s">
        <v>115</v>
      </c>
      <c r="AE64" s="251" t="s">
        <v>462</v>
      </c>
      <c r="AF64" s="275" t="s">
        <v>643</v>
      </c>
      <c r="AG64" s="462" t="s">
        <v>764</v>
      </c>
    </row>
    <row r="65" spans="1:33" ht="15">
      <c r="A65" s="2">
        <v>63</v>
      </c>
      <c r="B65" s="2" t="s">
        <v>18</v>
      </c>
      <c r="C65" s="8" t="s">
        <v>22</v>
      </c>
      <c r="D65" s="2" t="s">
        <v>19</v>
      </c>
      <c r="E65" s="7">
        <v>13</v>
      </c>
      <c r="F65" s="2" t="s">
        <v>20</v>
      </c>
      <c r="G65" s="2" t="s">
        <v>21</v>
      </c>
      <c r="H65" s="116" t="s">
        <v>23</v>
      </c>
      <c r="I65" s="136" t="s">
        <v>476</v>
      </c>
      <c r="J65" s="336" t="s">
        <v>622</v>
      </c>
      <c r="K65" s="136" t="s">
        <v>477</v>
      </c>
      <c r="L65" s="12" t="s">
        <v>20</v>
      </c>
      <c r="M65" s="12" t="s">
        <v>21</v>
      </c>
      <c r="N65" s="136" t="s">
        <v>468</v>
      </c>
      <c r="O65" s="136">
        <v>94117890</v>
      </c>
      <c r="P65" s="136">
        <v>7</v>
      </c>
      <c r="Q65" s="110">
        <v>20000</v>
      </c>
      <c r="R65" s="110">
        <v>20000</v>
      </c>
      <c r="S65" s="302">
        <f t="shared" si="0"/>
        <v>40000</v>
      </c>
      <c r="T65" s="137" t="s">
        <v>24</v>
      </c>
      <c r="U65" s="329" t="s">
        <v>429</v>
      </c>
      <c r="V65" s="228" t="s">
        <v>516</v>
      </c>
      <c r="W65" s="16"/>
      <c r="X65" s="210" t="s">
        <v>430</v>
      </c>
      <c r="Y65" s="16"/>
      <c r="Z65" s="16" t="s">
        <v>463</v>
      </c>
      <c r="AA65" s="238">
        <v>1803521243</v>
      </c>
      <c r="AD65" s="275" t="s">
        <v>115</v>
      </c>
      <c r="AE65" s="251" t="s">
        <v>462</v>
      </c>
      <c r="AF65" s="275" t="s">
        <v>643</v>
      </c>
      <c r="AG65" s="462" t="s">
        <v>764</v>
      </c>
    </row>
    <row r="66" spans="1:33" ht="15">
      <c r="A66" s="2">
        <v>64</v>
      </c>
      <c r="B66" s="2" t="s">
        <v>18</v>
      </c>
      <c r="C66" s="116" t="s">
        <v>22</v>
      </c>
      <c r="D66" s="2" t="s">
        <v>19</v>
      </c>
      <c r="E66" s="2">
        <v>13</v>
      </c>
      <c r="F66" s="2" t="s">
        <v>20</v>
      </c>
      <c r="G66" s="2" t="s">
        <v>21</v>
      </c>
      <c r="H66" s="116" t="s">
        <v>23</v>
      </c>
      <c r="I66" s="136" t="s">
        <v>476</v>
      </c>
      <c r="J66" s="336" t="s">
        <v>621</v>
      </c>
      <c r="K66" s="136" t="s">
        <v>477</v>
      </c>
      <c r="L66" s="12" t="s">
        <v>20</v>
      </c>
      <c r="M66" s="12" t="s">
        <v>21</v>
      </c>
      <c r="N66" s="136" t="s">
        <v>467</v>
      </c>
      <c r="O66" s="136">
        <v>94117884</v>
      </c>
      <c r="P66" s="136">
        <v>3</v>
      </c>
      <c r="Q66" s="110">
        <v>20000</v>
      </c>
      <c r="R66" s="110">
        <v>20000</v>
      </c>
      <c r="S66" s="302">
        <f t="shared" si="0"/>
        <v>40000</v>
      </c>
      <c r="T66" s="137" t="s">
        <v>24</v>
      </c>
      <c r="U66" s="329" t="s">
        <v>429</v>
      </c>
      <c r="V66" s="228" t="s">
        <v>517</v>
      </c>
      <c r="W66" s="16"/>
      <c r="X66" s="210" t="s">
        <v>430</v>
      </c>
      <c r="Y66" s="16"/>
      <c r="Z66" s="16" t="s">
        <v>463</v>
      </c>
      <c r="AA66" s="238">
        <v>1803521243</v>
      </c>
      <c r="AD66" s="275" t="s">
        <v>115</v>
      </c>
      <c r="AE66" s="251" t="s">
        <v>462</v>
      </c>
      <c r="AF66" s="275" t="s">
        <v>643</v>
      </c>
      <c r="AG66" s="462" t="s">
        <v>764</v>
      </c>
    </row>
    <row r="67" spans="1:33" ht="15">
      <c r="A67" s="2">
        <v>65</v>
      </c>
      <c r="B67" s="2" t="s">
        <v>18</v>
      </c>
      <c r="C67" s="116" t="s">
        <v>22</v>
      </c>
      <c r="D67" s="2" t="s">
        <v>19</v>
      </c>
      <c r="E67" s="2">
        <v>13</v>
      </c>
      <c r="F67" s="2" t="s">
        <v>20</v>
      </c>
      <c r="G67" s="2" t="s">
        <v>21</v>
      </c>
      <c r="H67" s="116" t="s">
        <v>23</v>
      </c>
      <c r="I67" s="136" t="s">
        <v>481</v>
      </c>
      <c r="J67" s="137" t="s">
        <v>480</v>
      </c>
      <c r="K67" s="136"/>
      <c r="L67" s="12" t="s">
        <v>20</v>
      </c>
      <c r="M67" s="12" t="s">
        <v>21</v>
      </c>
      <c r="N67" s="110" t="s">
        <v>518</v>
      </c>
      <c r="O67" s="136">
        <v>72071067</v>
      </c>
      <c r="P67" s="136">
        <v>4</v>
      </c>
      <c r="Q67" s="110">
        <v>900</v>
      </c>
      <c r="R67" s="110">
        <v>900</v>
      </c>
      <c r="S67" s="302">
        <f t="shared" si="0"/>
        <v>1800</v>
      </c>
      <c r="T67" s="137" t="s">
        <v>24</v>
      </c>
      <c r="U67" s="329" t="s">
        <v>429</v>
      </c>
      <c r="V67" s="228" t="s">
        <v>623</v>
      </c>
      <c r="W67" s="16"/>
      <c r="X67" s="210" t="s">
        <v>430</v>
      </c>
      <c r="Y67" s="16"/>
      <c r="Z67" s="16" t="s">
        <v>463</v>
      </c>
      <c r="AA67" s="238">
        <v>10888083</v>
      </c>
      <c r="AD67" s="275" t="s">
        <v>115</v>
      </c>
      <c r="AE67" s="251" t="s">
        <v>462</v>
      </c>
      <c r="AF67" s="275" t="s">
        <v>643</v>
      </c>
      <c r="AG67" s="462" t="s">
        <v>764</v>
      </c>
    </row>
    <row r="68" spans="1:33" ht="15">
      <c r="A68" s="2">
        <v>66</v>
      </c>
      <c r="B68" s="2" t="s">
        <v>18</v>
      </c>
      <c r="C68" s="116" t="s">
        <v>22</v>
      </c>
      <c r="D68" s="2" t="s">
        <v>19</v>
      </c>
      <c r="E68" s="2">
        <v>13</v>
      </c>
      <c r="F68" s="2" t="s">
        <v>20</v>
      </c>
      <c r="G68" s="2" t="s">
        <v>21</v>
      </c>
      <c r="H68" s="116" t="s">
        <v>23</v>
      </c>
      <c r="I68" s="331" t="s">
        <v>482</v>
      </c>
      <c r="J68" s="137" t="s">
        <v>483</v>
      </c>
      <c r="K68" s="229" t="s">
        <v>484</v>
      </c>
      <c r="L68" s="12" t="s">
        <v>20</v>
      </c>
      <c r="M68" s="12" t="s">
        <v>21</v>
      </c>
      <c r="N68" s="291" t="s">
        <v>519</v>
      </c>
      <c r="O68" s="334">
        <v>93853489</v>
      </c>
      <c r="P68" s="136">
        <v>12.5</v>
      </c>
      <c r="Q68" s="136">
        <v>850</v>
      </c>
      <c r="R68" s="110">
        <v>1350</v>
      </c>
      <c r="S68" s="302">
        <f t="shared" ref="S68:S77" si="1">R68+Q68</f>
        <v>2200</v>
      </c>
      <c r="T68" s="137" t="s">
        <v>88</v>
      </c>
      <c r="U68" s="329" t="s">
        <v>429</v>
      </c>
      <c r="V68" s="228" t="s">
        <v>623</v>
      </c>
      <c r="W68" s="16"/>
      <c r="X68" s="210" t="s">
        <v>430</v>
      </c>
      <c r="Y68" s="16"/>
      <c r="Z68" s="237" t="s">
        <v>494</v>
      </c>
      <c r="AA68" s="238">
        <v>10888083</v>
      </c>
      <c r="AD68" s="460" t="s">
        <v>464</v>
      </c>
      <c r="AE68" s="459" t="s">
        <v>430</v>
      </c>
      <c r="AF68" s="459" t="s">
        <v>762</v>
      </c>
      <c r="AG68" s="460" t="s">
        <v>760</v>
      </c>
    </row>
    <row r="69" spans="1:33" ht="15">
      <c r="A69" s="2">
        <v>67</v>
      </c>
      <c r="B69" s="2" t="s">
        <v>18</v>
      </c>
      <c r="C69" s="116" t="s">
        <v>22</v>
      </c>
      <c r="D69" s="2" t="s">
        <v>19</v>
      </c>
      <c r="E69" s="2">
        <v>13</v>
      </c>
      <c r="F69" s="2" t="s">
        <v>20</v>
      </c>
      <c r="G69" s="2" t="s">
        <v>21</v>
      </c>
      <c r="H69" s="116" t="s">
        <v>23</v>
      </c>
      <c r="I69" s="331" t="s">
        <v>492</v>
      </c>
      <c r="J69" s="137" t="s">
        <v>146</v>
      </c>
      <c r="K69" s="136"/>
      <c r="L69" s="12" t="s">
        <v>20</v>
      </c>
      <c r="M69" s="12" t="s">
        <v>21</v>
      </c>
      <c r="N69" s="229" t="s">
        <v>493</v>
      </c>
      <c r="O69" s="334">
        <v>95673789</v>
      </c>
      <c r="P69" s="136">
        <v>4.5</v>
      </c>
      <c r="Q69" s="136">
        <v>2500</v>
      </c>
      <c r="R69" s="110">
        <v>4500</v>
      </c>
      <c r="S69" s="302">
        <f t="shared" si="1"/>
        <v>7000</v>
      </c>
      <c r="T69" s="137" t="s">
        <v>88</v>
      </c>
      <c r="U69" s="329" t="s">
        <v>429</v>
      </c>
      <c r="V69" s="227" t="s">
        <v>513</v>
      </c>
      <c r="X69" s="210" t="s">
        <v>430</v>
      </c>
      <c r="Z69" s="237" t="s">
        <v>494</v>
      </c>
      <c r="AA69" s="238">
        <v>10888083</v>
      </c>
      <c r="AD69" s="460" t="s">
        <v>464</v>
      </c>
      <c r="AE69" s="459" t="s">
        <v>430</v>
      </c>
      <c r="AF69" s="459" t="s">
        <v>762</v>
      </c>
      <c r="AG69" s="460" t="s">
        <v>760</v>
      </c>
    </row>
    <row r="70" spans="1:33" ht="15">
      <c r="A70" s="2">
        <v>68</v>
      </c>
      <c r="B70" s="7" t="s">
        <v>18</v>
      </c>
      <c r="C70" s="239" t="s">
        <v>22</v>
      </c>
      <c r="D70" s="7" t="s">
        <v>19</v>
      </c>
      <c r="E70" s="7">
        <v>13</v>
      </c>
      <c r="F70" s="7" t="s">
        <v>20</v>
      </c>
      <c r="G70" s="7" t="s">
        <v>21</v>
      </c>
      <c r="H70" s="239" t="s">
        <v>23</v>
      </c>
      <c r="I70" s="333" t="s">
        <v>495</v>
      </c>
      <c r="J70" s="301" t="s">
        <v>496</v>
      </c>
      <c r="K70" s="240" t="s">
        <v>529</v>
      </c>
      <c r="L70" s="12" t="s">
        <v>20</v>
      </c>
      <c r="M70" s="12" t="s">
        <v>21</v>
      </c>
      <c r="N70" s="229" t="s">
        <v>497</v>
      </c>
      <c r="O70" s="334">
        <v>72062784</v>
      </c>
      <c r="P70" s="136">
        <v>7</v>
      </c>
      <c r="Q70" s="136">
        <v>3800</v>
      </c>
      <c r="R70" s="110">
        <v>3800</v>
      </c>
      <c r="S70" s="302">
        <f t="shared" si="1"/>
        <v>7600</v>
      </c>
      <c r="T70" s="137" t="s">
        <v>88</v>
      </c>
      <c r="U70" s="329" t="s">
        <v>429</v>
      </c>
      <c r="V70" s="242" t="s">
        <v>514</v>
      </c>
      <c r="X70" s="210" t="s">
        <v>430</v>
      </c>
      <c r="Z70" s="237" t="s">
        <v>494</v>
      </c>
      <c r="AA70" s="238">
        <v>10876567</v>
      </c>
      <c r="AD70" s="275" t="s">
        <v>115</v>
      </c>
      <c r="AE70" s="251" t="s">
        <v>462</v>
      </c>
      <c r="AF70" s="275" t="s">
        <v>643</v>
      </c>
      <c r="AG70" s="462" t="s">
        <v>764</v>
      </c>
    </row>
    <row r="71" spans="1:33" ht="15">
      <c r="A71" s="2">
        <v>69</v>
      </c>
      <c r="B71" s="2" t="s">
        <v>18</v>
      </c>
      <c r="C71" s="116" t="s">
        <v>22</v>
      </c>
      <c r="D71" s="2" t="s">
        <v>19</v>
      </c>
      <c r="E71" s="2">
        <v>13</v>
      </c>
      <c r="F71" s="2" t="s">
        <v>20</v>
      </c>
      <c r="G71" s="2" t="s">
        <v>21</v>
      </c>
      <c r="H71" s="116" t="s">
        <v>23</v>
      </c>
      <c r="I71" s="334" t="s">
        <v>498</v>
      </c>
      <c r="J71" s="137" t="s">
        <v>56</v>
      </c>
      <c r="K71" s="136"/>
      <c r="L71" s="12" t="s">
        <v>20</v>
      </c>
      <c r="M71" s="12" t="s">
        <v>21</v>
      </c>
      <c r="N71" s="229" t="s">
        <v>499</v>
      </c>
      <c r="O71" s="334">
        <v>70119769</v>
      </c>
      <c r="P71" s="136">
        <v>25</v>
      </c>
      <c r="Q71" s="136">
        <v>500</v>
      </c>
      <c r="R71" s="110">
        <v>500</v>
      </c>
      <c r="S71" s="302">
        <f t="shared" si="1"/>
        <v>1000</v>
      </c>
      <c r="T71" s="137" t="s">
        <v>88</v>
      </c>
      <c r="U71" s="329" t="s">
        <v>429</v>
      </c>
      <c r="V71" s="242" t="s">
        <v>515</v>
      </c>
      <c r="X71" s="210" t="s">
        <v>430</v>
      </c>
      <c r="Z71" s="237" t="s">
        <v>494</v>
      </c>
      <c r="AA71" s="238">
        <v>10876567</v>
      </c>
      <c r="AD71" s="275" t="s">
        <v>115</v>
      </c>
      <c r="AE71" s="251" t="s">
        <v>462</v>
      </c>
      <c r="AF71" s="275" t="s">
        <v>643</v>
      </c>
      <c r="AG71" s="462" t="s">
        <v>764</v>
      </c>
    </row>
    <row r="72" spans="1:33" ht="15">
      <c r="A72" s="2">
        <v>70</v>
      </c>
      <c r="B72" s="7" t="s">
        <v>18</v>
      </c>
      <c r="C72" s="239" t="s">
        <v>22</v>
      </c>
      <c r="D72" s="7" t="s">
        <v>19</v>
      </c>
      <c r="E72" s="7">
        <v>13</v>
      </c>
      <c r="F72" s="7" t="s">
        <v>20</v>
      </c>
      <c r="G72" s="7" t="s">
        <v>21</v>
      </c>
      <c r="H72" s="239" t="s">
        <v>23</v>
      </c>
      <c r="I72" s="331" t="s">
        <v>520</v>
      </c>
      <c r="J72" s="137" t="s">
        <v>521</v>
      </c>
      <c r="K72" s="243" t="s">
        <v>522</v>
      </c>
      <c r="L72" s="12" t="s">
        <v>20</v>
      </c>
      <c r="M72" s="12" t="s">
        <v>21</v>
      </c>
      <c r="N72" s="229" t="s">
        <v>630</v>
      </c>
      <c r="O72" s="334">
        <v>91205033</v>
      </c>
      <c r="P72" s="136">
        <v>20</v>
      </c>
      <c r="Q72" s="136">
        <v>200</v>
      </c>
      <c r="R72" s="110">
        <v>500</v>
      </c>
      <c r="S72" s="302">
        <f t="shared" si="1"/>
        <v>700</v>
      </c>
      <c r="T72" s="137" t="s">
        <v>88</v>
      </c>
      <c r="U72" s="329" t="s">
        <v>429</v>
      </c>
      <c r="V72" s="242" t="s">
        <v>523</v>
      </c>
      <c r="X72" s="210" t="s">
        <v>430</v>
      </c>
      <c r="Z72" s="237" t="s">
        <v>494</v>
      </c>
      <c r="AA72" s="238">
        <v>10876567</v>
      </c>
      <c r="AD72" s="460" t="s">
        <v>464</v>
      </c>
      <c r="AE72" s="459" t="s">
        <v>430</v>
      </c>
      <c r="AF72" s="459" t="s">
        <v>762</v>
      </c>
      <c r="AG72" s="460" t="s">
        <v>760</v>
      </c>
    </row>
    <row r="73" spans="1:33" ht="15">
      <c r="A73" s="2">
        <v>71</v>
      </c>
      <c r="B73" s="7" t="s">
        <v>18</v>
      </c>
      <c r="C73" s="239" t="s">
        <v>22</v>
      </c>
      <c r="D73" s="7" t="s">
        <v>19</v>
      </c>
      <c r="E73" s="7">
        <v>13</v>
      </c>
      <c r="F73" s="7" t="s">
        <v>20</v>
      </c>
      <c r="G73" s="7" t="s">
        <v>21</v>
      </c>
      <c r="H73" s="239" t="s">
        <v>23</v>
      </c>
      <c r="I73" s="332" t="s">
        <v>524</v>
      </c>
      <c r="J73" s="322" t="s">
        <v>146</v>
      </c>
      <c r="K73" s="323" t="s">
        <v>525</v>
      </c>
      <c r="L73" s="114" t="s">
        <v>20</v>
      </c>
      <c r="M73" s="114" t="s">
        <v>21</v>
      </c>
      <c r="N73" s="324" t="s">
        <v>526</v>
      </c>
      <c r="O73" s="321">
        <v>87015817</v>
      </c>
      <c r="P73" s="321">
        <v>4</v>
      </c>
      <c r="Q73" s="321">
        <v>7000</v>
      </c>
      <c r="R73" s="322">
        <v>7000</v>
      </c>
      <c r="S73" s="302">
        <f t="shared" si="1"/>
        <v>14000</v>
      </c>
      <c r="T73" s="322" t="s">
        <v>88</v>
      </c>
      <c r="U73" s="329" t="s">
        <v>429</v>
      </c>
      <c r="V73" s="242" t="s">
        <v>527</v>
      </c>
      <c r="X73" s="210" t="s">
        <v>528</v>
      </c>
      <c r="Z73" s="237" t="s">
        <v>494</v>
      </c>
      <c r="AA73" s="238">
        <v>221070316</v>
      </c>
      <c r="AD73" s="275" t="s">
        <v>115</v>
      </c>
      <c r="AE73" s="251" t="s">
        <v>462</v>
      </c>
      <c r="AF73" s="275" t="s">
        <v>643</v>
      </c>
      <c r="AG73" s="462" t="s">
        <v>764</v>
      </c>
    </row>
    <row r="74" spans="1:33" ht="15">
      <c r="A74" s="2">
        <v>72</v>
      </c>
      <c r="B74" s="319" t="s">
        <v>18</v>
      </c>
      <c r="C74" s="325" t="s">
        <v>22</v>
      </c>
      <c r="D74" s="319" t="s">
        <v>19</v>
      </c>
      <c r="E74" s="319">
        <v>13</v>
      </c>
      <c r="F74" s="319" t="s">
        <v>20</v>
      </c>
      <c r="G74" s="319" t="s">
        <v>21</v>
      </c>
      <c r="H74" s="325" t="s">
        <v>23</v>
      </c>
      <c r="I74" s="326" t="s">
        <v>635</v>
      </c>
      <c r="J74" s="326" t="s">
        <v>636</v>
      </c>
      <c r="K74" s="327" t="s">
        <v>637</v>
      </c>
      <c r="L74" s="319" t="s">
        <v>20</v>
      </c>
      <c r="M74" s="319" t="s">
        <v>21</v>
      </c>
      <c r="N74" s="320" t="s">
        <v>638</v>
      </c>
      <c r="O74" s="326">
        <v>96432291</v>
      </c>
      <c r="P74" s="326">
        <v>7</v>
      </c>
      <c r="Q74" s="326">
        <v>5000</v>
      </c>
      <c r="R74" s="328">
        <v>8100</v>
      </c>
      <c r="S74" s="302">
        <f t="shared" si="1"/>
        <v>13100</v>
      </c>
      <c r="T74" s="328" t="s">
        <v>88</v>
      </c>
      <c r="U74" s="330" t="s">
        <v>429</v>
      </c>
      <c r="V74" s="242" t="s">
        <v>623</v>
      </c>
      <c r="X74" s="210" t="s">
        <v>430</v>
      </c>
      <c r="Z74" s="275" t="s">
        <v>643</v>
      </c>
      <c r="AD74" s="461" t="s">
        <v>464</v>
      </c>
      <c r="AE74" s="461" t="s">
        <v>430</v>
      </c>
      <c r="AF74" s="461" t="s">
        <v>761</v>
      </c>
      <c r="AG74" s="467" t="s">
        <v>643</v>
      </c>
    </row>
    <row r="75" spans="1:33" s="269" customFormat="1" ht="15">
      <c r="A75" s="2">
        <v>73</v>
      </c>
      <c r="B75" s="319" t="s">
        <v>18</v>
      </c>
      <c r="C75" s="325" t="s">
        <v>22</v>
      </c>
      <c r="D75" s="319" t="s">
        <v>19</v>
      </c>
      <c r="E75" s="319">
        <v>13</v>
      </c>
      <c r="F75" s="319" t="s">
        <v>20</v>
      </c>
      <c r="G75" s="319" t="s">
        <v>21</v>
      </c>
      <c r="H75" s="325" t="s">
        <v>23</v>
      </c>
      <c r="I75" s="326" t="s">
        <v>640</v>
      </c>
      <c r="J75" s="326" t="s">
        <v>639</v>
      </c>
      <c r="K75" s="327" t="s">
        <v>695</v>
      </c>
      <c r="L75" s="319" t="s">
        <v>20</v>
      </c>
      <c r="M75" s="319" t="s">
        <v>21</v>
      </c>
      <c r="N75" s="320" t="s">
        <v>641</v>
      </c>
      <c r="O75" s="326">
        <v>96432285</v>
      </c>
      <c r="P75" s="326">
        <v>16</v>
      </c>
      <c r="Q75" s="326">
        <v>12000</v>
      </c>
      <c r="R75" s="328">
        <v>22000</v>
      </c>
      <c r="S75" s="302">
        <f t="shared" si="1"/>
        <v>34000</v>
      </c>
      <c r="T75" s="328" t="s">
        <v>88</v>
      </c>
      <c r="U75" s="330" t="s">
        <v>429</v>
      </c>
      <c r="V75" s="242" t="s">
        <v>642</v>
      </c>
      <c r="X75" s="210" t="s">
        <v>430</v>
      </c>
      <c r="Z75" s="275" t="s">
        <v>643</v>
      </c>
      <c r="AD75" s="461" t="s">
        <v>464</v>
      </c>
      <c r="AE75" s="461" t="s">
        <v>430</v>
      </c>
      <c r="AF75" s="461" t="s">
        <v>761</v>
      </c>
      <c r="AG75" s="467" t="s">
        <v>643</v>
      </c>
    </row>
    <row r="76" spans="1:33">
      <c r="A76" s="136">
        <v>74</v>
      </c>
      <c r="B76" s="2"/>
      <c r="C76" s="116"/>
      <c r="D76" s="2"/>
      <c r="E76" s="2"/>
      <c r="F76" s="2"/>
      <c r="G76" s="2"/>
      <c r="H76" s="116"/>
      <c r="I76" s="164" t="s">
        <v>698</v>
      </c>
      <c r="J76" s="164" t="s">
        <v>699</v>
      </c>
      <c r="K76" s="530" t="s">
        <v>700</v>
      </c>
      <c r="L76" s="319" t="s">
        <v>20</v>
      </c>
      <c r="M76" s="319" t="s">
        <v>21</v>
      </c>
      <c r="N76" s="347" t="s">
        <v>697</v>
      </c>
      <c r="O76" s="164">
        <v>95724644</v>
      </c>
      <c r="P76" s="164">
        <v>1</v>
      </c>
      <c r="Q76" s="164">
        <v>1000</v>
      </c>
      <c r="R76" s="137">
        <v>1000</v>
      </c>
      <c r="S76" s="302">
        <f t="shared" si="1"/>
        <v>2000</v>
      </c>
      <c r="T76" s="137" t="s">
        <v>24</v>
      </c>
      <c r="AD76" s="275" t="s">
        <v>115</v>
      </c>
      <c r="AE76" s="251" t="s">
        <v>462</v>
      </c>
      <c r="AF76" s="275" t="s">
        <v>643</v>
      </c>
      <c r="AG76" s="468" t="s">
        <v>764</v>
      </c>
    </row>
    <row r="77" spans="1:33" s="269" customFormat="1">
      <c r="A77" s="522">
        <v>75</v>
      </c>
      <c r="B77" s="523"/>
      <c r="C77" s="524"/>
      <c r="D77" s="523"/>
      <c r="E77" s="523"/>
      <c r="F77" s="523"/>
      <c r="G77" s="523"/>
      <c r="H77" s="524"/>
      <c r="I77" s="525" t="s">
        <v>781</v>
      </c>
      <c r="J77" s="525" t="s">
        <v>167</v>
      </c>
      <c r="K77" s="531" t="s">
        <v>782</v>
      </c>
      <c r="L77" s="532" t="s">
        <v>20</v>
      </c>
      <c r="M77" s="532" t="s">
        <v>21</v>
      </c>
      <c r="N77" s="527" t="s">
        <v>783</v>
      </c>
      <c r="O77" s="525"/>
      <c r="P77" s="525">
        <v>2</v>
      </c>
      <c r="Q77" s="525">
        <v>850</v>
      </c>
      <c r="R77" s="528">
        <v>1700</v>
      </c>
      <c r="S77" s="529">
        <f t="shared" si="1"/>
        <v>2550</v>
      </c>
      <c r="T77" s="528" t="s">
        <v>88</v>
      </c>
      <c r="U77" s="526"/>
      <c r="V77" s="526"/>
      <c r="W77" s="526"/>
      <c r="X77" s="526"/>
      <c r="Y77" s="526"/>
      <c r="Z77" s="526"/>
      <c r="AA77" s="526"/>
      <c r="AB77" s="526"/>
      <c r="AC77" s="526"/>
      <c r="AD77" s="461" t="s">
        <v>464</v>
      </c>
      <c r="AE77" s="461" t="s">
        <v>430</v>
      </c>
      <c r="AF77" s="461" t="s">
        <v>761</v>
      </c>
      <c r="AG77" s="467" t="s">
        <v>760</v>
      </c>
    </row>
    <row r="78" spans="1:33" s="269" customFormat="1">
      <c r="B78" s="13"/>
      <c r="C78" s="222"/>
      <c r="D78" s="13"/>
      <c r="E78" s="13"/>
      <c r="F78" s="13"/>
      <c r="G78" s="13"/>
      <c r="H78" s="222"/>
      <c r="I78" s="245"/>
      <c r="J78" s="245"/>
      <c r="K78" s="244"/>
      <c r="L78" s="346"/>
      <c r="M78" s="346"/>
      <c r="N78" s="246"/>
      <c r="O78" s="245"/>
      <c r="P78" s="245"/>
      <c r="Q78" s="245"/>
    </row>
    <row r="79" spans="1:33" ht="15">
      <c r="Q79" s="206">
        <f>SUM(Q3:Q77)</f>
        <v>1078800</v>
      </c>
      <c r="R79" s="206">
        <f>SUM(R3:R77)</f>
        <v>1107850</v>
      </c>
      <c r="S79" s="206">
        <f>SUM(S3:S77)</f>
        <v>2186650</v>
      </c>
      <c r="T79" s="14"/>
    </row>
    <row r="80" spans="1:33">
      <c r="M80">
        <f>12+1</f>
        <v>13</v>
      </c>
      <c r="N80" t="s">
        <v>539</v>
      </c>
      <c r="P80" s="196" t="s">
        <v>88</v>
      </c>
      <c r="Q80" s="272">
        <f>Q61+Q58+Q55+Q51+Q71+Q70+Q69+Q68+Q72+Q73+Q74+Q75+Q77</f>
        <v>159300</v>
      </c>
      <c r="R80" s="272">
        <f>R61+R58+R55+R51+R71+R70+R69+R68+R72+R73+R74+R75+R77</f>
        <v>176050</v>
      </c>
      <c r="S80" s="272">
        <f>S61+S58+S55+S51+S71+S70+S69+S68+S72+S73+S74+S75+S77</f>
        <v>335350</v>
      </c>
      <c r="T80" s="14"/>
    </row>
    <row r="81" spans="13:20">
      <c r="M81">
        <f>A76-M80</f>
        <v>61</v>
      </c>
      <c r="N81" t="s">
        <v>540</v>
      </c>
      <c r="P81" t="s">
        <v>24</v>
      </c>
      <c r="Q81" s="195">
        <f>Q79-Q80</f>
        <v>919500</v>
      </c>
      <c r="R81" s="195">
        <f>R79-R80</f>
        <v>931800</v>
      </c>
      <c r="S81" s="195">
        <f>S79-S80</f>
        <v>1851300</v>
      </c>
      <c r="T81" s="195"/>
    </row>
    <row r="82" spans="13:20">
      <c r="N82">
        <v>0.36</v>
      </c>
      <c r="O82" t="s">
        <v>458</v>
      </c>
      <c r="Q82" s="272">
        <f>Q81*$N$82</f>
        <v>331020</v>
      </c>
      <c r="R82" s="14">
        <f>R81*$N$82</f>
        <v>335448</v>
      </c>
      <c r="S82" s="272">
        <f>S81*$N$82</f>
        <v>666468</v>
      </c>
      <c r="T82" s="14"/>
    </row>
    <row r="83" spans="13:20">
      <c r="N83">
        <f>1-N82</f>
        <v>0.64</v>
      </c>
      <c r="O83" t="s">
        <v>459</v>
      </c>
      <c r="Q83" s="272">
        <f>Q81-Q82</f>
        <v>588480</v>
      </c>
      <c r="R83" s="14">
        <f>R81-R82</f>
        <v>596352</v>
      </c>
      <c r="S83" s="272">
        <f>S81-S82</f>
        <v>1184832</v>
      </c>
      <c r="T83" s="14"/>
    </row>
    <row r="86" spans="13:20">
      <c r="R86" s="272"/>
      <c r="S86" s="272"/>
    </row>
    <row r="87" spans="13:20">
      <c r="Q87" s="272"/>
      <c r="R87" s="272"/>
      <c r="S87" s="202"/>
    </row>
    <row r="88" spans="13:20" ht="16.5" customHeight="1">
      <c r="P88" s="200"/>
      <c r="Q88" s="200"/>
      <c r="R88" s="241"/>
      <c r="S88" s="241"/>
      <c r="T88" s="197"/>
    </row>
    <row r="89" spans="13:20">
      <c r="R89" s="441"/>
      <c r="S89" s="202"/>
      <c r="T89" s="197"/>
    </row>
    <row r="90" spans="13:20">
      <c r="R90" s="202"/>
      <c r="S90" s="202"/>
      <c r="T90" s="197"/>
    </row>
    <row r="91" spans="13:20">
      <c r="R91" s="202"/>
      <c r="S91" s="202"/>
      <c r="T91" s="197"/>
    </row>
    <row r="92" spans="13:20">
      <c r="R92" s="202"/>
      <c r="S92" s="202"/>
      <c r="T92" s="197"/>
    </row>
    <row r="93" spans="13:20">
      <c r="R93" s="202"/>
      <c r="S93" s="202"/>
    </row>
    <row r="94" spans="13:20">
      <c r="R94" s="202"/>
      <c r="S94" s="202"/>
      <c r="T94" s="197"/>
    </row>
    <row r="95" spans="13:20">
      <c r="R95" s="202"/>
      <c r="S95" s="202"/>
      <c r="T95" s="197"/>
    </row>
    <row r="96" spans="13:20">
      <c r="R96" s="202"/>
      <c r="S96" s="202"/>
    </row>
  </sheetData>
  <mergeCells count="5">
    <mergeCell ref="N1:T1"/>
    <mergeCell ref="A1:A2"/>
    <mergeCell ref="B1:D1"/>
    <mergeCell ref="E1:I1"/>
    <mergeCell ref="J1:M1"/>
  </mergeCells>
  <phoneticPr fontId="5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7"/>
  <sheetViews>
    <sheetView topLeftCell="I1" workbookViewId="0">
      <selection activeCell="P41" sqref="P41"/>
    </sheetView>
  </sheetViews>
  <sheetFormatPr defaultRowHeight="14.25"/>
  <cols>
    <col min="1" max="1" width="3" bestFit="1" customWidth="1"/>
    <col min="2" max="2" width="21.25" customWidth="1"/>
    <col min="3" max="3" width="11.5" customWidth="1"/>
    <col min="4" max="4" width="9.875" customWidth="1"/>
    <col min="5" max="5" width="3.875" customWidth="1"/>
    <col min="6" max="6" width="7.375" customWidth="1"/>
    <col min="8" max="8" width="25.125" customWidth="1"/>
    <col min="9" max="9" width="35.375" customWidth="1"/>
    <col min="10" max="10" width="22.5" customWidth="1"/>
    <col min="11" max="11" width="20.875" customWidth="1"/>
    <col min="12" max="12" width="6.875" customWidth="1"/>
    <col min="13" max="13" width="10.5" customWidth="1"/>
    <col min="14" max="14" width="19.125" customWidth="1"/>
    <col min="15" max="15" width="9.75" customWidth="1"/>
    <col min="19" max="19" width="9" style="269"/>
    <col min="21" max="21" width="11" customWidth="1"/>
    <col min="22" max="22" width="19.25" customWidth="1"/>
    <col min="23" max="23" width="18.875" customWidth="1"/>
    <col min="24" max="24" width="14.75" customWidth="1"/>
    <col min="25" max="25" width="9.5" hidden="1" customWidth="1"/>
    <col min="26" max="27" width="0" hidden="1" customWidth="1"/>
  </cols>
  <sheetData>
    <row r="1" spans="1:27" s="1" customFormat="1">
      <c r="A1" s="550" t="s">
        <v>16</v>
      </c>
      <c r="B1" s="549" t="s">
        <v>15</v>
      </c>
      <c r="C1" s="549"/>
      <c r="D1" s="549"/>
      <c r="E1" s="549" t="s">
        <v>14</v>
      </c>
      <c r="F1" s="549"/>
      <c r="G1" s="549"/>
      <c r="H1" s="549"/>
      <c r="I1" s="549"/>
      <c r="J1" s="549" t="s">
        <v>13</v>
      </c>
      <c r="K1" s="549"/>
      <c r="L1" s="549"/>
      <c r="M1" s="549"/>
      <c r="N1" s="549" t="s">
        <v>12</v>
      </c>
      <c r="O1" s="549"/>
      <c r="P1" s="549"/>
      <c r="Q1" s="549"/>
      <c r="R1" s="549"/>
      <c r="S1" s="549"/>
      <c r="T1" s="549"/>
    </row>
    <row r="2" spans="1:27" s="1" customFormat="1" ht="59.25" customHeight="1">
      <c r="A2" s="550"/>
      <c r="B2" s="3" t="s">
        <v>11</v>
      </c>
      <c r="C2" s="4" t="s">
        <v>10</v>
      </c>
      <c r="D2" s="3" t="s">
        <v>6</v>
      </c>
      <c r="E2" s="3" t="s">
        <v>5</v>
      </c>
      <c r="F2" s="3" t="s">
        <v>4</v>
      </c>
      <c r="G2" s="3" t="s">
        <v>9</v>
      </c>
      <c r="H2" s="3" t="s">
        <v>8</v>
      </c>
      <c r="I2" s="458" t="s">
        <v>7</v>
      </c>
      <c r="J2" s="4" t="s">
        <v>6</v>
      </c>
      <c r="K2" s="4" t="s">
        <v>5</v>
      </c>
      <c r="L2" s="4" t="s">
        <v>4</v>
      </c>
      <c r="M2" s="4" t="s">
        <v>3</v>
      </c>
      <c r="N2" s="3" t="s">
        <v>17</v>
      </c>
      <c r="O2" s="3" t="s">
        <v>2</v>
      </c>
      <c r="P2" s="3" t="s">
        <v>1</v>
      </c>
      <c r="Q2" s="348" t="s">
        <v>461</v>
      </c>
      <c r="R2" s="348" t="s">
        <v>684</v>
      </c>
      <c r="S2" s="343" t="s">
        <v>683</v>
      </c>
      <c r="T2" s="3" t="s">
        <v>0</v>
      </c>
      <c r="U2" s="21" t="s">
        <v>114</v>
      </c>
      <c r="V2" s="21" t="s">
        <v>117</v>
      </c>
      <c r="W2" s="22" t="s">
        <v>118</v>
      </c>
      <c r="X2" s="22" t="s">
        <v>537</v>
      </c>
      <c r="Y2" s="134" t="s">
        <v>302</v>
      </c>
      <c r="Z2" s="134" t="s">
        <v>303</v>
      </c>
      <c r="AA2" s="134" t="s">
        <v>306</v>
      </c>
    </row>
    <row r="3" spans="1:27">
      <c r="A3" s="91">
        <v>1</v>
      </c>
      <c r="B3" s="91" t="s">
        <v>18</v>
      </c>
      <c r="C3" s="92" t="s">
        <v>22</v>
      </c>
      <c r="D3" s="91" t="s">
        <v>19</v>
      </c>
      <c r="E3" s="91">
        <v>13</v>
      </c>
      <c r="F3" s="91" t="s">
        <v>20</v>
      </c>
      <c r="G3" s="91" t="s">
        <v>21</v>
      </c>
      <c r="H3" s="93" t="s">
        <v>487</v>
      </c>
      <c r="I3" s="96" t="s">
        <v>77</v>
      </c>
      <c r="J3" s="91" t="s">
        <v>19</v>
      </c>
      <c r="K3" s="91">
        <v>13</v>
      </c>
      <c r="L3" s="91" t="s">
        <v>20</v>
      </c>
      <c r="M3" s="91" t="s">
        <v>21</v>
      </c>
      <c r="N3" s="471" t="s">
        <v>244</v>
      </c>
      <c r="O3" s="471" t="s">
        <v>685</v>
      </c>
      <c r="P3" s="345">
        <v>70</v>
      </c>
      <c r="Q3" s="475">
        <v>110000</v>
      </c>
      <c r="R3" s="475">
        <v>110000</v>
      </c>
      <c r="S3" s="475">
        <f>Q3+R3</f>
        <v>220000</v>
      </c>
      <c r="T3" s="96" t="s">
        <v>87</v>
      </c>
      <c r="U3" s="5" t="s">
        <v>115</v>
      </c>
      <c r="V3" s="251" t="s">
        <v>462</v>
      </c>
      <c r="W3" s="16" t="s">
        <v>643</v>
      </c>
      <c r="X3" s="462" t="s">
        <v>764</v>
      </c>
      <c r="AA3" t="s">
        <v>304</v>
      </c>
    </row>
    <row r="4" spans="1:27">
      <c r="A4" s="91">
        <v>2</v>
      </c>
      <c r="B4" s="94" t="s">
        <v>18</v>
      </c>
      <c r="C4" s="95" t="s">
        <v>22</v>
      </c>
      <c r="D4" s="94" t="s">
        <v>19</v>
      </c>
      <c r="E4" s="94">
        <v>13</v>
      </c>
      <c r="F4" s="94" t="s">
        <v>20</v>
      </c>
      <c r="G4" s="94" t="s">
        <v>21</v>
      </c>
      <c r="H4" s="93" t="s">
        <v>487</v>
      </c>
      <c r="I4" s="96" t="s">
        <v>78</v>
      </c>
      <c r="J4" s="91" t="s">
        <v>19</v>
      </c>
      <c r="K4" s="91">
        <v>13</v>
      </c>
      <c r="L4" s="91" t="s">
        <v>20</v>
      </c>
      <c r="M4" s="91" t="s">
        <v>21</v>
      </c>
      <c r="N4" s="471" t="s">
        <v>245</v>
      </c>
      <c r="O4" s="471" t="s">
        <v>686</v>
      </c>
      <c r="P4" s="345">
        <v>5</v>
      </c>
      <c r="Q4" s="475">
        <v>23000</v>
      </c>
      <c r="R4" s="475">
        <v>23000</v>
      </c>
      <c r="S4" s="475">
        <f t="shared" ref="S4:S9" si="0">Q4+R4</f>
        <v>46000</v>
      </c>
      <c r="T4" s="96" t="s">
        <v>88</v>
      </c>
      <c r="U4" s="5" t="s">
        <v>115</v>
      </c>
      <c r="V4" s="251" t="s">
        <v>462</v>
      </c>
      <c r="W4" s="16" t="s">
        <v>643</v>
      </c>
      <c r="X4" s="462" t="s">
        <v>764</v>
      </c>
      <c r="Y4" s="135" t="s">
        <v>301</v>
      </c>
    </row>
    <row r="5" spans="1:27">
      <c r="A5" s="91">
        <v>3</v>
      </c>
      <c r="B5" s="91" t="s">
        <v>18</v>
      </c>
      <c r="C5" s="92" t="s">
        <v>22</v>
      </c>
      <c r="D5" s="91" t="s">
        <v>19</v>
      </c>
      <c r="E5" s="91">
        <v>13</v>
      </c>
      <c r="F5" s="91" t="s">
        <v>20</v>
      </c>
      <c r="G5" s="91" t="s">
        <v>21</v>
      </c>
      <c r="H5" s="93" t="s">
        <v>487</v>
      </c>
      <c r="I5" s="96" t="s">
        <v>79</v>
      </c>
      <c r="J5" s="91" t="s">
        <v>30</v>
      </c>
      <c r="K5" s="91">
        <v>12</v>
      </c>
      <c r="L5" s="91" t="s">
        <v>20</v>
      </c>
      <c r="M5" s="91" t="s">
        <v>21</v>
      </c>
      <c r="N5" s="471" t="s">
        <v>246</v>
      </c>
      <c r="O5" s="471" t="s">
        <v>688</v>
      </c>
      <c r="P5" s="345">
        <v>39</v>
      </c>
      <c r="Q5" s="475">
        <v>42000</v>
      </c>
      <c r="R5" s="475">
        <v>42000</v>
      </c>
      <c r="S5" s="475">
        <f t="shared" si="0"/>
        <v>84000</v>
      </c>
      <c r="T5" s="96" t="s">
        <v>88</v>
      </c>
      <c r="U5" s="5" t="s">
        <v>115</v>
      </c>
      <c r="V5" s="251" t="s">
        <v>462</v>
      </c>
      <c r="W5" s="275" t="s">
        <v>643</v>
      </c>
      <c r="X5" s="462" t="s">
        <v>764</v>
      </c>
      <c r="Y5" s="135" t="s">
        <v>301</v>
      </c>
    </row>
    <row r="6" spans="1:27">
      <c r="A6" s="91">
        <v>4</v>
      </c>
      <c r="B6" s="94" t="s">
        <v>18</v>
      </c>
      <c r="C6" s="95" t="s">
        <v>22</v>
      </c>
      <c r="D6" s="94" t="s">
        <v>19</v>
      </c>
      <c r="E6" s="94">
        <v>13</v>
      </c>
      <c r="F6" s="94" t="s">
        <v>20</v>
      </c>
      <c r="G6" s="94" t="s">
        <v>21</v>
      </c>
      <c r="H6" s="93" t="s">
        <v>487</v>
      </c>
      <c r="I6" s="96" t="s">
        <v>376</v>
      </c>
      <c r="J6" s="91" t="s">
        <v>148</v>
      </c>
      <c r="K6" s="91">
        <v>15</v>
      </c>
      <c r="L6" s="91" t="s">
        <v>20</v>
      </c>
      <c r="M6" s="91" t="s">
        <v>21</v>
      </c>
      <c r="N6" s="471" t="s">
        <v>377</v>
      </c>
      <c r="O6" s="471" t="s">
        <v>689</v>
      </c>
      <c r="P6" s="91">
        <v>70</v>
      </c>
      <c r="Q6" s="475">
        <v>31000</v>
      </c>
      <c r="R6" s="475">
        <v>31000</v>
      </c>
      <c r="S6" s="475">
        <f t="shared" si="0"/>
        <v>62000</v>
      </c>
      <c r="T6" s="96" t="s">
        <v>87</v>
      </c>
      <c r="U6" s="5" t="s">
        <v>115</v>
      </c>
      <c r="V6" s="251" t="s">
        <v>462</v>
      </c>
      <c r="W6" s="275" t="s">
        <v>643</v>
      </c>
      <c r="X6" s="462" t="s">
        <v>764</v>
      </c>
      <c r="Y6" s="16" t="s">
        <v>301</v>
      </c>
    </row>
    <row r="7" spans="1:27">
      <c r="A7" s="91">
        <v>5</v>
      </c>
      <c r="B7" s="91" t="s">
        <v>18</v>
      </c>
      <c r="C7" s="92" t="s">
        <v>22</v>
      </c>
      <c r="D7" s="91" t="s">
        <v>19</v>
      </c>
      <c r="E7" s="91">
        <v>13</v>
      </c>
      <c r="F7" s="91" t="s">
        <v>20</v>
      </c>
      <c r="G7" s="91" t="s">
        <v>21</v>
      </c>
      <c r="H7" s="93" t="s">
        <v>487</v>
      </c>
      <c r="I7" s="96" t="s">
        <v>531</v>
      </c>
      <c r="J7" s="91" t="s">
        <v>19</v>
      </c>
      <c r="K7" s="91">
        <v>12</v>
      </c>
      <c r="L7" s="91" t="s">
        <v>20</v>
      </c>
      <c r="M7" s="91" t="s">
        <v>21</v>
      </c>
      <c r="N7" s="471" t="s">
        <v>634</v>
      </c>
      <c r="O7" s="471" t="s">
        <v>687</v>
      </c>
      <c r="P7" s="345">
        <v>21</v>
      </c>
      <c r="Q7" s="475">
        <v>20000</v>
      </c>
      <c r="R7" s="475">
        <v>20000</v>
      </c>
      <c r="S7" s="475">
        <f t="shared" si="0"/>
        <v>40000</v>
      </c>
      <c r="T7" s="96" t="s">
        <v>88</v>
      </c>
      <c r="U7" s="5"/>
      <c r="V7" s="251" t="s">
        <v>462</v>
      </c>
      <c r="W7" s="275" t="s">
        <v>643</v>
      </c>
      <c r="X7" s="462" t="s">
        <v>764</v>
      </c>
      <c r="Y7" s="16"/>
    </row>
    <row r="8" spans="1:27">
      <c r="A8" s="91">
        <v>6</v>
      </c>
      <c r="B8" s="91" t="s">
        <v>18</v>
      </c>
      <c r="C8" s="300" t="s">
        <v>22</v>
      </c>
      <c r="D8" s="91" t="s">
        <v>19</v>
      </c>
      <c r="E8" s="94">
        <v>13</v>
      </c>
      <c r="F8" s="91" t="s">
        <v>127</v>
      </c>
      <c r="G8" s="91" t="s">
        <v>21</v>
      </c>
      <c r="H8" s="93" t="s">
        <v>487</v>
      </c>
      <c r="I8" s="96" t="s">
        <v>130</v>
      </c>
      <c r="J8" s="91" t="s">
        <v>56</v>
      </c>
      <c r="K8" s="97" t="s">
        <v>132</v>
      </c>
      <c r="L8" s="91" t="s">
        <v>20</v>
      </c>
      <c r="M8" s="91" t="s">
        <v>21</v>
      </c>
      <c r="N8" s="471" t="s">
        <v>247</v>
      </c>
      <c r="O8" s="471" t="s">
        <v>690</v>
      </c>
      <c r="P8" s="345">
        <v>20</v>
      </c>
      <c r="Q8" s="475">
        <v>23000</v>
      </c>
      <c r="R8" s="475">
        <v>23000</v>
      </c>
      <c r="S8" s="475">
        <f t="shared" si="0"/>
        <v>46000</v>
      </c>
      <c r="T8" s="96" t="s">
        <v>88</v>
      </c>
      <c r="U8" s="5" t="s">
        <v>115</v>
      </c>
      <c r="V8" s="251" t="s">
        <v>462</v>
      </c>
      <c r="W8" s="275" t="s">
        <v>643</v>
      </c>
      <c r="X8" s="462" t="s">
        <v>764</v>
      </c>
    </row>
    <row r="9" spans="1:27">
      <c r="A9" s="91">
        <v>7</v>
      </c>
      <c r="B9" s="91" t="s">
        <v>18</v>
      </c>
      <c r="C9" s="300" t="s">
        <v>22</v>
      </c>
      <c r="D9" s="91" t="s">
        <v>19</v>
      </c>
      <c r="E9" s="94">
        <v>13</v>
      </c>
      <c r="F9" s="91" t="s">
        <v>129</v>
      </c>
      <c r="G9" s="91" t="s">
        <v>21</v>
      </c>
      <c r="H9" s="93" t="s">
        <v>487</v>
      </c>
      <c r="I9" s="96" t="s">
        <v>130</v>
      </c>
      <c r="J9" s="91" t="s">
        <v>39</v>
      </c>
      <c r="K9" s="91">
        <v>1</v>
      </c>
      <c r="L9" s="91" t="s">
        <v>20</v>
      </c>
      <c r="M9" s="91" t="s">
        <v>21</v>
      </c>
      <c r="N9" s="472" t="s">
        <v>248</v>
      </c>
      <c r="O9" s="471"/>
      <c r="P9" s="91">
        <v>6</v>
      </c>
      <c r="Q9" s="475">
        <f>3000+10000</f>
        <v>13000</v>
      </c>
      <c r="R9" s="475">
        <f>3500+11000</f>
        <v>14500</v>
      </c>
      <c r="S9" s="475">
        <f t="shared" si="0"/>
        <v>27500</v>
      </c>
      <c r="T9" s="96" t="s">
        <v>133</v>
      </c>
      <c r="U9" s="5" t="s">
        <v>115</v>
      </c>
      <c r="V9" s="251" t="s">
        <v>462</v>
      </c>
      <c r="W9" s="275" t="s">
        <v>643</v>
      </c>
      <c r="X9" s="462" t="s">
        <v>764</v>
      </c>
    </row>
    <row r="10" spans="1:27">
      <c r="A10" s="213">
        <v>8</v>
      </c>
      <c r="B10" s="214" t="s">
        <v>18</v>
      </c>
      <c r="C10" s="215" t="s">
        <v>22</v>
      </c>
      <c r="D10" s="216" t="s">
        <v>19</v>
      </c>
      <c r="E10" s="213">
        <v>13</v>
      </c>
      <c r="F10" s="216" t="s">
        <v>20</v>
      </c>
      <c r="G10" s="216" t="s">
        <v>21</v>
      </c>
      <c r="H10" s="247" t="s">
        <v>488</v>
      </c>
      <c r="I10" s="213" t="s">
        <v>81</v>
      </c>
      <c r="J10" s="213" t="s">
        <v>82</v>
      </c>
      <c r="K10" s="213"/>
      <c r="L10" s="213" t="s">
        <v>20</v>
      </c>
      <c r="M10" s="213" t="s">
        <v>21</v>
      </c>
      <c r="N10" s="219" t="s">
        <v>249</v>
      </c>
      <c r="O10" s="219" t="s">
        <v>97</v>
      </c>
      <c r="P10" s="213">
        <v>4</v>
      </c>
      <c r="Q10" s="476">
        <v>10000</v>
      </c>
      <c r="R10" s="226">
        <v>10000</v>
      </c>
      <c r="S10" s="226">
        <f t="shared" ref="S10:S15" si="1">Q10+R10</f>
        <v>20000</v>
      </c>
      <c r="T10" s="477" t="s">
        <v>88</v>
      </c>
      <c r="U10" s="5" t="s">
        <v>115</v>
      </c>
      <c r="V10" s="251" t="s">
        <v>462</v>
      </c>
      <c r="W10" s="275" t="s">
        <v>643</v>
      </c>
      <c r="X10" s="462" t="s">
        <v>764</v>
      </c>
      <c r="Y10" s="16" t="s">
        <v>305</v>
      </c>
      <c r="Z10" t="s">
        <v>304</v>
      </c>
    </row>
    <row r="11" spans="1:27">
      <c r="A11" s="213">
        <v>9</v>
      </c>
      <c r="B11" s="213" t="s">
        <v>18</v>
      </c>
      <c r="C11" s="215" t="s">
        <v>22</v>
      </c>
      <c r="D11" s="213" t="s">
        <v>19</v>
      </c>
      <c r="E11" s="214">
        <v>13</v>
      </c>
      <c r="F11" s="213" t="s">
        <v>20</v>
      </c>
      <c r="G11" s="213" t="s">
        <v>21</v>
      </c>
      <c r="H11" s="247" t="s">
        <v>488</v>
      </c>
      <c r="I11" s="213" t="s">
        <v>83</v>
      </c>
      <c r="J11" s="213" t="s">
        <v>49</v>
      </c>
      <c r="K11" s="213"/>
      <c r="L11" s="213" t="s">
        <v>20</v>
      </c>
      <c r="M11" s="213" t="s">
        <v>21</v>
      </c>
      <c r="N11" s="219" t="s">
        <v>250</v>
      </c>
      <c r="O11" s="219" t="s">
        <v>98</v>
      </c>
      <c r="P11" s="213">
        <v>12</v>
      </c>
      <c r="Q11" s="476">
        <v>14000</v>
      </c>
      <c r="R11" s="226">
        <v>14000</v>
      </c>
      <c r="S11" s="226">
        <f t="shared" si="1"/>
        <v>28000</v>
      </c>
      <c r="T11" s="477" t="s">
        <v>88</v>
      </c>
      <c r="U11" s="5" t="s">
        <v>115</v>
      </c>
      <c r="V11" s="251" t="s">
        <v>462</v>
      </c>
      <c r="W11" s="275" t="s">
        <v>643</v>
      </c>
      <c r="X11" s="462" t="s">
        <v>764</v>
      </c>
      <c r="Y11" s="16" t="s">
        <v>308</v>
      </c>
    </row>
    <row r="12" spans="1:27">
      <c r="A12" s="213">
        <v>10</v>
      </c>
      <c r="B12" s="214" t="s">
        <v>18</v>
      </c>
      <c r="C12" s="217" t="s">
        <v>22</v>
      </c>
      <c r="D12" s="214" t="s">
        <v>19</v>
      </c>
      <c r="E12" s="213">
        <v>13</v>
      </c>
      <c r="F12" s="214" t="s">
        <v>20</v>
      </c>
      <c r="G12" s="214" t="s">
        <v>21</v>
      </c>
      <c r="H12" s="247" t="s">
        <v>488</v>
      </c>
      <c r="I12" s="213" t="s">
        <v>84</v>
      </c>
      <c r="J12" s="213" t="s">
        <v>30</v>
      </c>
      <c r="K12" s="213"/>
      <c r="L12" s="213" t="s">
        <v>20</v>
      </c>
      <c r="M12" s="213" t="s">
        <v>21</v>
      </c>
      <c r="N12" s="219" t="s">
        <v>251</v>
      </c>
      <c r="O12" s="219" t="s">
        <v>99</v>
      </c>
      <c r="P12" s="477">
        <v>10</v>
      </c>
      <c r="Q12" s="476">
        <v>11000</v>
      </c>
      <c r="R12" s="226">
        <v>11000</v>
      </c>
      <c r="S12" s="226">
        <f t="shared" si="1"/>
        <v>22000</v>
      </c>
      <c r="T12" s="477" t="s">
        <v>88</v>
      </c>
      <c r="U12" s="5" t="s">
        <v>115</v>
      </c>
      <c r="V12" s="251" t="s">
        <v>462</v>
      </c>
      <c r="W12" s="275" t="s">
        <v>643</v>
      </c>
      <c r="X12" s="462" t="s">
        <v>764</v>
      </c>
      <c r="Y12" s="16" t="s">
        <v>301</v>
      </c>
    </row>
    <row r="13" spans="1:27">
      <c r="A13" s="213">
        <v>11</v>
      </c>
      <c r="B13" s="213" t="s">
        <v>18</v>
      </c>
      <c r="C13" s="215" t="s">
        <v>22</v>
      </c>
      <c r="D13" s="213" t="s">
        <v>19</v>
      </c>
      <c r="E13" s="214">
        <v>13</v>
      </c>
      <c r="F13" s="213" t="s">
        <v>20</v>
      </c>
      <c r="G13" s="213" t="s">
        <v>21</v>
      </c>
      <c r="H13" s="247" t="s">
        <v>488</v>
      </c>
      <c r="I13" s="213" t="s">
        <v>85</v>
      </c>
      <c r="J13" s="213" t="s">
        <v>86</v>
      </c>
      <c r="K13" s="213"/>
      <c r="L13" s="213" t="s">
        <v>20</v>
      </c>
      <c r="M13" s="213" t="s">
        <v>21</v>
      </c>
      <c r="N13" s="219" t="s">
        <v>252</v>
      </c>
      <c r="O13" s="219" t="s">
        <v>100</v>
      </c>
      <c r="P13" s="477">
        <v>10</v>
      </c>
      <c r="Q13" s="476">
        <v>5000</v>
      </c>
      <c r="R13" s="226">
        <v>5000</v>
      </c>
      <c r="S13" s="226">
        <f t="shared" si="1"/>
        <v>10000</v>
      </c>
      <c r="T13" s="477" t="s">
        <v>88</v>
      </c>
      <c r="U13" s="5" t="s">
        <v>115</v>
      </c>
      <c r="V13" s="251" t="s">
        <v>462</v>
      </c>
      <c r="W13" s="275" t="s">
        <v>643</v>
      </c>
      <c r="X13" s="462" t="s">
        <v>764</v>
      </c>
      <c r="Y13" s="16" t="s">
        <v>370</v>
      </c>
    </row>
    <row r="14" spans="1:27" ht="25.5">
      <c r="A14" s="213">
        <v>12</v>
      </c>
      <c r="B14" s="213" t="s">
        <v>18</v>
      </c>
      <c r="C14" s="218" t="s">
        <v>22</v>
      </c>
      <c r="D14" s="213" t="s">
        <v>19</v>
      </c>
      <c r="E14" s="213">
        <v>13</v>
      </c>
      <c r="F14" s="214" t="s">
        <v>20</v>
      </c>
      <c r="G14" s="213" t="s">
        <v>21</v>
      </c>
      <c r="H14" s="225" t="s">
        <v>488</v>
      </c>
      <c r="I14" s="213" t="s">
        <v>128</v>
      </c>
      <c r="J14" s="213" t="s">
        <v>131</v>
      </c>
      <c r="K14" s="213" t="s">
        <v>134</v>
      </c>
      <c r="L14" s="213" t="s">
        <v>20</v>
      </c>
      <c r="M14" s="213" t="s">
        <v>21</v>
      </c>
      <c r="N14" s="219" t="s">
        <v>253</v>
      </c>
      <c r="O14" s="219" t="s">
        <v>691</v>
      </c>
      <c r="P14" s="477">
        <v>8</v>
      </c>
      <c r="Q14" s="476">
        <v>7500</v>
      </c>
      <c r="R14" s="226">
        <v>7500</v>
      </c>
      <c r="S14" s="226">
        <f t="shared" si="1"/>
        <v>15000</v>
      </c>
      <c r="T14" s="477" t="s">
        <v>88</v>
      </c>
      <c r="U14" s="5" t="s">
        <v>115</v>
      </c>
      <c r="V14" s="251" t="s">
        <v>462</v>
      </c>
      <c r="W14" s="275" t="s">
        <v>643</v>
      </c>
      <c r="X14" s="462" t="s">
        <v>764</v>
      </c>
    </row>
    <row r="15" spans="1:27">
      <c r="A15" s="213">
        <v>13</v>
      </c>
      <c r="B15" s="213" t="s">
        <v>18</v>
      </c>
      <c r="C15" s="215" t="s">
        <v>22</v>
      </c>
      <c r="D15" s="213" t="s">
        <v>19</v>
      </c>
      <c r="E15" s="214">
        <v>13</v>
      </c>
      <c r="F15" s="213" t="s">
        <v>20</v>
      </c>
      <c r="G15" s="213" t="s">
        <v>21</v>
      </c>
      <c r="H15" s="247" t="s">
        <v>488</v>
      </c>
      <c r="I15" s="213" t="s">
        <v>85</v>
      </c>
      <c r="J15" s="213" t="s">
        <v>620</v>
      </c>
      <c r="K15" s="213"/>
      <c r="L15" s="213" t="s">
        <v>20</v>
      </c>
      <c r="M15" s="213" t="s">
        <v>21</v>
      </c>
      <c r="N15" s="219" t="s">
        <v>469</v>
      </c>
      <c r="O15" s="219" t="s">
        <v>470</v>
      </c>
      <c r="P15" s="477">
        <v>7</v>
      </c>
      <c r="Q15" s="478">
        <v>9100</v>
      </c>
      <c r="R15" s="226">
        <v>9100</v>
      </c>
      <c r="S15" s="226">
        <f t="shared" si="1"/>
        <v>18200</v>
      </c>
      <c r="T15" s="477" t="s">
        <v>88</v>
      </c>
      <c r="U15" s="5" t="s">
        <v>464</v>
      </c>
      <c r="V15" s="251" t="s">
        <v>462</v>
      </c>
      <c r="W15" s="275" t="s">
        <v>643</v>
      </c>
      <c r="X15" s="462" t="s">
        <v>764</v>
      </c>
    </row>
    <row r="16" spans="1:27">
      <c r="A16" s="86">
        <v>14</v>
      </c>
      <c r="B16" s="86" t="s">
        <v>18</v>
      </c>
      <c r="C16" s="87" t="s">
        <v>22</v>
      </c>
      <c r="D16" s="86" t="s">
        <v>19</v>
      </c>
      <c r="E16" s="88">
        <v>13</v>
      </c>
      <c r="F16" s="86" t="s">
        <v>20</v>
      </c>
      <c r="G16" s="86" t="s">
        <v>21</v>
      </c>
      <c r="H16" s="89" t="s">
        <v>489</v>
      </c>
      <c r="I16" s="86" t="s">
        <v>186</v>
      </c>
      <c r="J16" s="86" t="s">
        <v>617</v>
      </c>
      <c r="K16" s="86">
        <v>6</v>
      </c>
      <c r="L16" s="86" t="s">
        <v>20</v>
      </c>
      <c r="M16" s="86" t="s">
        <v>21</v>
      </c>
      <c r="N16" s="473" t="s">
        <v>254</v>
      </c>
      <c r="O16" s="473" t="s">
        <v>190</v>
      </c>
      <c r="P16" s="480">
        <v>12</v>
      </c>
      <c r="Q16" s="479">
        <v>425</v>
      </c>
      <c r="R16" s="479">
        <v>425</v>
      </c>
      <c r="S16" s="479">
        <f t="shared" ref="S16:S21" si="2">R16+Q16</f>
        <v>850</v>
      </c>
      <c r="T16" s="480" t="s">
        <v>88</v>
      </c>
      <c r="U16" s="5" t="s">
        <v>115</v>
      </c>
      <c r="V16" s="251" t="s">
        <v>462</v>
      </c>
      <c r="W16" s="275" t="s">
        <v>643</v>
      </c>
      <c r="X16" s="462" t="s">
        <v>764</v>
      </c>
    </row>
    <row r="17" spans="1:24">
      <c r="A17" s="86">
        <v>15</v>
      </c>
      <c r="B17" s="86" t="s">
        <v>18</v>
      </c>
      <c r="C17" s="90" t="s">
        <v>22</v>
      </c>
      <c r="D17" s="86" t="s">
        <v>19</v>
      </c>
      <c r="E17" s="86">
        <v>13</v>
      </c>
      <c r="F17" s="86" t="s">
        <v>20</v>
      </c>
      <c r="G17" s="86" t="s">
        <v>21</v>
      </c>
      <c r="H17" s="89" t="s">
        <v>489</v>
      </c>
      <c r="I17" s="86" t="s">
        <v>187</v>
      </c>
      <c r="J17" s="86" t="s">
        <v>475</v>
      </c>
      <c r="K17" s="86">
        <v>42</v>
      </c>
      <c r="L17" s="86" t="s">
        <v>20</v>
      </c>
      <c r="M17" s="86" t="s">
        <v>21</v>
      </c>
      <c r="N17" s="473" t="s">
        <v>255</v>
      </c>
      <c r="O17" s="473" t="s">
        <v>678</v>
      </c>
      <c r="P17" s="480">
        <v>5</v>
      </c>
      <c r="Q17" s="479">
        <v>5100</v>
      </c>
      <c r="R17" s="479">
        <v>5100</v>
      </c>
      <c r="S17" s="479">
        <f t="shared" si="2"/>
        <v>10200</v>
      </c>
      <c r="T17" s="480" t="s">
        <v>88</v>
      </c>
      <c r="U17" s="5" t="s">
        <v>115</v>
      </c>
      <c r="V17" s="251" t="s">
        <v>462</v>
      </c>
      <c r="W17" s="275" t="s">
        <v>643</v>
      </c>
      <c r="X17" s="462" t="s">
        <v>764</v>
      </c>
    </row>
    <row r="18" spans="1:24">
      <c r="A18" s="86">
        <v>16</v>
      </c>
      <c r="B18" s="88" t="s">
        <v>18</v>
      </c>
      <c r="C18" s="230" t="s">
        <v>22</v>
      </c>
      <c r="D18" s="88" t="s">
        <v>19</v>
      </c>
      <c r="E18" s="88">
        <v>13</v>
      </c>
      <c r="F18" s="88" t="s">
        <v>20</v>
      </c>
      <c r="G18" s="88" t="s">
        <v>21</v>
      </c>
      <c r="H18" s="89" t="s">
        <v>489</v>
      </c>
      <c r="I18" s="88" t="s">
        <v>474</v>
      </c>
      <c r="J18" s="88" t="s">
        <v>471</v>
      </c>
      <c r="K18" s="88"/>
      <c r="L18" s="86" t="s">
        <v>20</v>
      </c>
      <c r="M18" s="86" t="s">
        <v>21</v>
      </c>
      <c r="N18" s="474" t="s">
        <v>472</v>
      </c>
      <c r="O18" s="474" t="s">
        <v>473</v>
      </c>
      <c r="P18" s="470">
        <v>10.5</v>
      </c>
      <c r="Q18" s="481">
        <v>5220</v>
      </c>
      <c r="R18" s="481">
        <v>5220</v>
      </c>
      <c r="S18" s="479">
        <f t="shared" si="2"/>
        <v>10440</v>
      </c>
      <c r="T18" s="470" t="s">
        <v>88</v>
      </c>
      <c r="U18" s="5" t="s">
        <v>115</v>
      </c>
      <c r="V18" s="251" t="s">
        <v>462</v>
      </c>
      <c r="W18" s="275" t="s">
        <v>643</v>
      </c>
      <c r="X18" s="462" t="s">
        <v>764</v>
      </c>
    </row>
    <row r="19" spans="1:24">
      <c r="A19" s="86">
        <v>17</v>
      </c>
      <c r="B19" s="86" t="s">
        <v>18</v>
      </c>
      <c r="C19" s="90" t="s">
        <v>22</v>
      </c>
      <c r="D19" s="86" t="s">
        <v>19</v>
      </c>
      <c r="E19" s="86">
        <v>13</v>
      </c>
      <c r="F19" s="86" t="s">
        <v>20</v>
      </c>
      <c r="G19" s="86" t="s">
        <v>21</v>
      </c>
      <c r="H19" s="89" t="s">
        <v>489</v>
      </c>
      <c r="I19" s="88" t="s">
        <v>508</v>
      </c>
      <c r="J19" s="88" t="s">
        <v>509</v>
      </c>
      <c r="K19" s="231" t="s">
        <v>680</v>
      </c>
      <c r="L19" s="86" t="s">
        <v>20</v>
      </c>
      <c r="M19" s="86" t="s">
        <v>21</v>
      </c>
      <c r="N19" s="474" t="s">
        <v>511</v>
      </c>
      <c r="O19" s="474" t="s">
        <v>510</v>
      </c>
      <c r="P19" s="470">
        <v>15</v>
      </c>
      <c r="Q19" s="481">
        <v>95</v>
      </c>
      <c r="R19" s="481">
        <v>95</v>
      </c>
      <c r="S19" s="481">
        <f t="shared" si="2"/>
        <v>190</v>
      </c>
      <c r="T19" s="470" t="s">
        <v>88</v>
      </c>
      <c r="U19" s="5" t="s">
        <v>115</v>
      </c>
      <c r="V19" s="251" t="s">
        <v>462</v>
      </c>
      <c r="W19" s="275" t="s">
        <v>643</v>
      </c>
      <c r="X19" s="462" t="s">
        <v>764</v>
      </c>
    </row>
    <row r="20" spans="1:24">
      <c r="A20" s="86">
        <v>18</v>
      </c>
      <c r="B20" s="88" t="s">
        <v>18</v>
      </c>
      <c r="C20" s="230" t="s">
        <v>22</v>
      </c>
      <c r="D20" s="88" t="s">
        <v>19</v>
      </c>
      <c r="E20" s="88">
        <v>13</v>
      </c>
      <c r="F20" s="88" t="s">
        <v>20</v>
      </c>
      <c r="G20" s="88" t="s">
        <v>21</v>
      </c>
      <c r="H20" s="89" t="s">
        <v>489</v>
      </c>
      <c r="I20" s="470" t="s">
        <v>679</v>
      </c>
      <c r="J20" s="470" t="s">
        <v>149</v>
      </c>
      <c r="K20" s="470">
        <v>46</v>
      </c>
      <c r="L20" s="480" t="s">
        <v>618</v>
      </c>
      <c r="M20" s="480" t="s">
        <v>21</v>
      </c>
      <c r="N20" s="474" t="s">
        <v>692</v>
      </c>
      <c r="O20" s="474" t="s">
        <v>693</v>
      </c>
      <c r="P20" s="470">
        <v>2</v>
      </c>
      <c r="Q20" s="481">
        <v>300</v>
      </c>
      <c r="R20" s="481">
        <v>300</v>
      </c>
      <c r="S20" s="481">
        <f t="shared" si="2"/>
        <v>600</v>
      </c>
      <c r="T20" s="470" t="s">
        <v>88</v>
      </c>
      <c r="U20" s="5" t="s">
        <v>115</v>
      </c>
      <c r="V20" s="251" t="s">
        <v>462</v>
      </c>
      <c r="W20" s="275" t="s">
        <v>643</v>
      </c>
      <c r="X20" s="462" t="s">
        <v>764</v>
      </c>
    </row>
    <row r="21" spans="1:24">
      <c r="A21" s="86">
        <v>19</v>
      </c>
      <c r="B21" s="232" t="s">
        <v>18</v>
      </c>
      <c r="C21" s="233" t="s">
        <v>22</v>
      </c>
      <c r="D21" s="232" t="s">
        <v>19</v>
      </c>
      <c r="E21" s="232">
        <v>13</v>
      </c>
      <c r="F21" s="232" t="s">
        <v>20</v>
      </c>
      <c r="G21" s="232" t="s">
        <v>21</v>
      </c>
      <c r="H21" s="233" t="s">
        <v>491</v>
      </c>
      <c r="I21" s="232" t="s">
        <v>485</v>
      </c>
      <c r="J21" s="232" t="s">
        <v>616</v>
      </c>
      <c r="K21" s="232" t="s">
        <v>486</v>
      </c>
      <c r="L21" s="232" t="s">
        <v>20</v>
      </c>
      <c r="M21" s="232" t="s">
        <v>21</v>
      </c>
      <c r="N21" s="234" t="s">
        <v>490</v>
      </c>
      <c r="O21" s="234" t="s">
        <v>704</v>
      </c>
      <c r="P21" s="232">
        <v>1</v>
      </c>
      <c r="Q21" s="236">
        <v>350</v>
      </c>
      <c r="R21" s="236">
        <v>350</v>
      </c>
      <c r="S21" s="236">
        <f t="shared" si="2"/>
        <v>700</v>
      </c>
      <c r="T21" s="482" t="s">
        <v>88</v>
      </c>
      <c r="U21" s="5" t="s">
        <v>115</v>
      </c>
      <c r="V21" s="251" t="s">
        <v>462</v>
      </c>
      <c r="W21" s="275" t="s">
        <v>643</v>
      </c>
      <c r="X21" s="462" t="s">
        <v>764</v>
      </c>
    </row>
    <row r="22" spans="1:24">
      <c r="A22" s="86">
        <v>20</v>
      </c>
      <c r="B22" s="232" t="s">
        <v>18</v>
      </c>
      <c r="C22" s="233" t="s">
        <v>22</v>
      </c>
      <c r="D22" s="232" t="s">
        <v>19</v>
      </c>
      <c r="E22" s="232">
        <v>13</v>
      </c>
      <c r="F22" s="232" t="s">
        <v>20</v>
      </c>
      <c r="G22" s="232" t="s">
        <v>21</v>
      </c>
      <c r="H22" s="233" t="s">
        <v>491</v>
      </c>
      <c r="I22" s="232" t="s">
        <v>485</v>
      </c>
      <c r="J22" s="232" t="s">
        <v>500</v>
      </c>
      <c r="K22" s="235" t="s">
        <v>503</v>
      </c>
      <c r="L22" s="232" t="s">
        <v>20</v>
      </c>
      <c r="M22" s="232" t="s">
        <v>21</v>
      </c>
      <c r="N22" s="234" t="s">
        <v>501</v>
      </c>
      <c r="O22" s="234" t="s">
        <v>502</v>
      </c>
      <c r="P22" s="232">
        <v>0.5</v>
      </c>
      <c r="Q22" s="236">
        <v>380</v>
      </c>
      <c r="R22" s="236">
        <v>350</v>
      </c>
      <c r="S22" s="236">
        <f t="shared" ref="S22:S26" si="3">R22+Q22</f>
        <v>730</v>
      </c>
      <c r="T22" s="482" t="s">
        <v>88</v>
      </c>
      <c r="U22" s="5" t="s">
        <v>115</v>
      </c>
      <c r="V22" s="251" t="s">
        <v>462</v>
      </c>
      <c r="W22" s="275" t="s">
        <v>643</v>
      </c>
      <c r="X22" s="462" t="s">
        <v>764</v>
      </c>
    </row>
    <row r="23" spans="1:24">
      <c r="A23" s="86">
        <v>21</v>
      </c>
      <c r="B23" s="232" t="s">
        <v>18</v>
      </c>
      <c r="C23" s="233" t="s">
        <v>22</v>
      </c>
      <c r="D23" s="232" t="s">
        <v>19</v>
      </c>
      <c r="E23" s="232">
        <v>13</v>
      </c>
      <c r="F23" s="232" t="s">
        <v>20</v>
      </c>
      <c r="G23" s="232" t="s">
        <v>21</v>
      </c>
      <c r="H23" s="233" t="s">
        <v>491</v>
      </c>
      <c r="I23" s="232" t="s">
        <v>485</v>
      </c>
      <c r="J23" s="232" t="s">
        <v>504</v>
      </c>
      <c r="K23" s="235" t="s">
        <v>505</v>
      </c>
      <c r="L23" s="232" t="s">
        <v>20</v>
      </c>
      <c r="M23" s="232" t="s">
        <v>21</v>
      </c>
      <c r="N23" s="234" t="s">
        <v>506</v>
      </c>
      <c r="O23" s="234" t="s">
        <v>507</v>
      </c>
      <c r="P23" s="232">
        <v>1</v>
      </c>
      <c r="Q23" s="236">
        <v>560</v>
      </c>
      <c r="R23" s="236">
        <v>560</v>
      </c>
      <c r="S23" s="236">
        <f t="shared" si="3"/>
        <v>1120</v>
      </c>
      <c r="T23" s="482" t="s">
        <v>88</v>
      </c>
      <c r="U23" s="5" t="s">
        <v>115</v>
      </c>
      <c r="V23" s="251" t="s">
        <v>462</v>
      </c>
      <c r="W23" s="275" t="s">
        <v>643</v>
      </c>
      <c r="X23" s="462" t="s">
        <v>764</v>
      </c>
    </row>
    <row r="24" spans="1:24" s="269" customFormat="1">
      <c r="A24" s="86">
        <v>22</v>
      </c>
      <c r="B24" s="232" t="s">
        <v>18</v>
      </c>
      <c r="C24" s="233" t="s">
        <v>681</v>
      </c>
      <c r="D24" s="232" t="s">
        <v>19</v>
      </c>
      <c r="E24" s="232">
        <v>13</v>
      </c>
      <c r="F24" s="232" t="s">
        <v>20</v>
      </c>
      <c r="G24" s="232" t="s">
        <v>21</v>
      </c>
      <c r="H24" s="233" t="s">
        <v>491</v>
      </c>
      <c r="I24" s="232" t="s">
        <v>485</v>
      </c>
      <c r="J24" s="232" t="s">
        <v>496</v>
      </c>
      <c r="K24" s="235"/>
      <c r="L24" s="232" t="s">
        <v>20</v>
      </c>
      <c r="M24" s="232" t="s">
        <v>21</v>
      </c>
      <c r="N24" s="234" t="s">
        <v>612</v>
      </c>
      <c r="O24" s="234" t="s">
        <v>613</v>
      </c>
      <c r="P24" s="232">
        <v>1</v>
      </c>
      <c r="Q24" s="236">
        <v>1500</v>
      </c>
      <c r="R24" s="236">
        <v>1500</v>
      </c>
      <c r="S24" s="236">
        <f t="shared" si="3"/>
        <v>3000</v>
      </c>
      <c r="T24" s="482" t="s">
        <v>88</v>
      </c>
      <c r="U24" s="5" t="s">
        <v>115</v>
      </c>
      <c r="V24" s="251" t="s">
        <v>462</v>
      </c>
      <c r="W24" s="275" t="s">
        <v>643</v>
      </c>
      <c r="X24" s="462" t="s">
        <v>764</v>
      </c>
    </row>
    <row r="25" spans="1:24" s="269" customFormat="1">
      <c r="A25" s="86">
        <v>23</v>
      </c>
      <c r="B25" s="232" t="s">
        <v>18</v>
      </c>
      <c r="C25" s="233" t="s">
        <v>682</v>
      </c>
      <c r="D25" s="232" t="s">
        <v>19</v>
      </c>
      <c r="E25" s="232">
        <v>13</v>
      </c>
      <c r="F25" s="232" t="s">
        <v>20</v>
      </c>
      <c r="G25" s="232" t="s">
        <v>21</v>
      </c>
      <c r="H25" s="233" t="s">
        <v>491</v>
      </c>
      <c r="I25" s="232" t="s">
        <v>485</v>
      </c>
      <c r="J25" s="232" t="s">
        <v>703</v>
      </c>
      <c r="K25" s="235"/>
      <c r="L25" s="232" t="s">
        <v>20</v>
      </c>
      <c r="M25" s="232" t="s">
        <v>21</v>
      </c>
      <c r="N25" s="234" t="s">
        <v>702</v>
      </c>
      <c r="O25" s="234" t="s">
        <v>789</v>
      </c>
      <c r="P25" s="232">
        <v>1</v>
      </c>
      <c r="Q25" s="236">
        <v>1500</v>
      </c>
      <c r="R25" s="236">
        <v>1500</v>
      </c>
      <c r="S25" s="236">
        <f t="shared" si="3"/>
        <v>3000</v>
      </c>
      <c r="T25" s="482" t="s">
        <v>694</v>
      </c>
      <c r="U25" s="5" t="s">
        <v>115</v>
      </c>
      <c r="V25" s="251" t="s">
        <v>462</v>
      </c>
      <c r="W25" s="275" t="s">
        <v>643</v>
      </c>
      <c r="X25" s="462" t="s">
        <v>764</v>
      </c>
    </row>
    <row r="26" spans="1:24" s="269" customFormat="1">
      <c r="A26" s="86">
        <v>24</v>
      </c>
      <c r="B26" s="232" t="s">
        <v>18</v>
      </c>
      <c r="C26" s="233" t="s">
        <v>22</v>
      </c>
      <c r="D26" s="232" t="s">
        <v>19</v>
      </c>
      <c r="E26" s="232">
        <v>13</v>
      </c>
      <c r="F26" s="232" t="s">
        <v>20</v>
      </c>
      <c r="G26" s="232" t="s">
        <v>21</v>
      </c>
      <c r="H26" s="233" t="s">
        <v>491</v>
      </c>
      <c r="I26" s="232" t="s">
        <v>485</v>
      </c>
      <c r="J26" s="232" t="s">
        <v>35</v>
      </c>
      <c r="K26" s="235"/>
      <c r="L26" s="232" t="s">
        <v>20</v>
      </c>
      <c r="M26" s="232" t="s">
        <v>21</v>
      </c>
      <c r="N26" s="234" t="s">
        <v>614</v>
      </c>
      <c r="O26" s="234" t="s">
        <v>615</v>
      </c>
      <c r="P26" s="232">
        <v>1</v>
      </c>
      <c r="Q26" s="236">
        <v>400</v>
      </c>
      <c r="R26" s="236">
        <v>450</v>
      </c>
      <c r="S26" s="236">
        <f t="shared" si="3"/>
        <v>850</v>
      </c>
      <c r="T26" s="482" t="s">
        <v>88</v>
      </c>
      <c r="U26" s="5" t="s">
        <v>115</v>
      </c>
      <c r="V26" s="251" t="s">
        <v>462</v>
      </c>
      <c r="W26" s="275" t="s">
        <v>643</v>
      </c>
      <c r="X26" s="462" t="s">
        <v>764</v>
      </c>
    </row>
    <row r="27" spans="1:24" s="269" customFormat="1">
      <c r="A27" s="292">
        <v>25</v>
      </c>
      <c r="B27" s="293" t="s">
        <v>18</v>
      </c>
      <c r="C27" s="294" t="s">
        <v>22</v>
      </c>
      <c r="D27" s="293" t="s">
        <v>19</v>
      </c>
      <c r="E27" s="293">
        <v>13</v>
      </c>
      <c r="F27" s="293" t="s">
        <v>20</v>
      </c>
      <c r="G27" s="293" t="s">
        <v>21</v>
      </c>
      <c r="H27" s="469" t="s">
        <v>767</v>
      </c>
      <c r="I27" s="293" t="s">
        <v>608</v>
      </c>
      <c r="J27" s="293" t="s">
        <v>609</v>
      </c>
      <c r="K27" s="295"/>
      <c r="L27" s="293" t="s">
        <v>20</v>
      </c>
      <c r="M27" s="293" t="s">
        <v>21</v>
      </c>
      <c r="N27" s="296" t="s">
        <v>610</v>
      </c>
      <c r="O27" s="296" t="s">
        <v>611</v>
      </c>
      <c r="P27" s="293">
        <v>7</v>
      </c>
      <c r="Q27" s="297">
        <v>15000</v>
      </c>
      <c r="R27" s="297">
        <v>15000</v>
      </c>
      <c r="S27" s="297">
        <f>R27+Q27</f>
        <v>30000</v>
      </c>
      <c r="T27" s="483" t="s">
        <v>88</v>
      </c>
      <c r="U27" s="252" t="s">
        <v>464</v>
      </c>
      <c r="V27" s="462" t="s">
        <v>538</v>
      </c>
      <c r="W27" s="459" t="s">
        <v>625</v>
      </c>
      <c r="X27" s="460" t="s">
        <v>759</v>
      </c>
    </row>
    <row r="28" spans="1:24">
      <c r="P28">
        <f>SUM(P3:P23)</f>
        <v>329</v>
      </c>
      <c r="Q28" s="14">
        <f>SUM(Q3:Q27)</f>
        <v>349430</v>
      </c>
      <c r="R28" s="272"/>
      <c r="S28" s="272"/>
    </row>
    <row r="30" spans="1:24">
      <c r="T30" t="s">
        <v>382</v>
      </c>
    </row>
    <row r="31" spans="1:24" ht="15">
      <c r="Q31" s="14">
        <f>Q3+Q6</f>
        <v>141000</v>
      </c>
      <c r="R31" s="272">
        <f>R3+R6</f>
        <v>141000</v>
      </c>
      <c r="S31" s="272">
        <f>S3+S6</f>
        <v>282000</v>
      </c>
      <c r="T31" s="212" t="s">
        <v>87</v>
      </c>
    </row>
    <row r="32" spans="1:24" ht="15">
      <c r="Q32" s="14">
        <f>Q4+Q5+Q7+Q8+Q10+Q11+Q12+Q13+Q14+Q15+Q16+Q17+Q18+Q19+Q20+Q21+Q22+Q23+Q24+Q25+Q26+Q27</f>
        <v>195430</v>
      </c>
      <c r="R32" s="272">
        <f>R4+R5+R7+R8+R10+R11+R12+R13+R14+R15+R16+R17+R18+R19+R20+R21+R22+R23+R24+R25+R26+R27</f>
        <v>195450</v>
      </c>
      <c r="S32" s="272">
        <f>S4+S5+S7+S8+S10+S11+S12+S13+S14+S15+S16+S17+S18+S19+S20+S21+S22+S23+S7+S24+S26+S27</f>
        <v>427880</v>
      </c>
      <c r="T32" s="212" t="s">
        <v>88</v>
      </c>
    </row>
    <row r="33" spans="12:20" ht="15">
      <c r="Q33" s="14">
        <f>Q9</f>
        <v>13000</v>
      </c>
      <c r="R33" s="14">
        <f>R34+R35</f>
        <v>14500</v>
      </c>
      <c r="S33" s="272">
        <f>Q33+R33</f>
        <v>27500</v>
      </c>
      <c r="T33" s="212" t="s">
        <v>159</v>
      </c>
    </row>
    <row r="34" spans="12:20">
      <c r="Q34">
        <v>3000</v>
      </c>
      <c r="R34">
        <v>3500</v>
      </c>
      <c r="S34" s="269">
        <f>Q34+R34</f>
        <v>6500</v>
      </c>
      <c r="T34" t="s">
        <v>408</v>
      </c>
    </row>
    <row r="35" spans="12:20">
      <c r="Q35">
        <v>10000</v>
      </c>
      <c r="R35">
        <v>11000</v>
      </c>
      <c r="S35" s="269">
        <f>Q35+R35</f>
        <v>21000</v>
      </c>
      <c r="T35" t="s">
        <v>441</v>
      </c>
    </row>
    <row r="36" spans="12:20">
      <c r="Q36" s="272"/>
    </row>
    <row r="37" spans="12:20">
      <c r="Q37">
        <v>2</v>
      </c>
    </row>
    <row r="38" spans="12:20">
      <c r="Q38">
        <v>22</v>
      </c>
    </row>
    <row r="39" spans="12:20">
      <c r="Q39">
        <v>1</v>
      </c>
    </row>
    <row r="40" spans="12:20">
      <c r="Q40" s="14"/>
      <c r="R40" s="14"/>
      <c r="S40" s="272"/>
    </row>
    <row r="41" spans="12:20">
      <c r="L41" t="s">
        <v>793</v>
      </c>
      <c r="M41" t="s">
        <v>792</v>
      </c>
      <c r="N41" t="s">
        <v>791</v>
      </c>
      <c r="Q41" s="14"/>
      <c r="R41" s="14"/>
      <c r="S41" s="272"/>
    </row>
    <row r="43" spans="12:20">
      <c r="Q43" s="14"/>
      <c r="R43" s="14"/>
      <c r="S43" s="272"/>
    </row>
    <row r="44" spans="12:20">
      <c r="Q44" s="272">
        <f>Q10+Q11+Q12+Q13+Q14+Q15</f>
        <v>56600</v>
      </c>
    </row>
    <row r="45" spans="12:20">
      <c r="Q45" s="14">
        <f>Q21+Q22+Q23+Q24+Q26</f>
        <v>3190</v>
      </c>
      <c r="R45" s="14"/>
      <c r="S45" s="272"/>
    </row>
    <row r="47" spans="12:20">
      <c r="Q47" s="272"/>
    </row>
    <row r="49" spans="16:20">
      <c r="P49" s="272" t="s">
        <v>753</v>
      </c>
      <c r="Q49" s="272">
        <f>Q10+Q11+Q12+Q13+Q14+Q15</f>
        <v>56600</v>
      </c>
      <c r="R49" s="272">
        <f>R10+R11+R12+R13+R14+R15</f>
        <v>56600</v>
      </c>
      <c r="S49" s="272">
        <f>SUM(Q49:R49)</f>
        <v>113200</v>
      </c>
    </row>
    <row r="50" spans="16:20">
      <c r="P50" s="272" t="s">
        <v>750</v>
      </c>
      <c r="Q50" s="272">
        <f>Q3+Q4+Q5+Q6+Q7+Q8+Q9</f>
        <v>262000</v>
      </c>
      <c r="R50" s="272">
        <f>R3+R4+R5+R6+R7+R8+R9</f>
        <v>263500</v>
      </c>
      <c r="S50" s="272">
        <f t="shared" ref="S50:S53" si="4">SUM(Q50:R50)</f>
        <v>525500</v>
      </c>
    </row>
    <row r="51" spans="16:20">
      <c r="P51" s="272" t="s">
        <v>751</v>
      </c>
      <c r="Q51" s="272">
        <f>Q16+Q17+Q18+Q19+Q20</f>
        <v>11140</v>
      </c>
      <c r="R51" s="272">
        <f>R16+R17+R18+R19+R20</f>
        <v>11140</v>
      </c>
      <c r="S51" s="272">
        <f t="shared" si="4"/>
        <v>22280</v>
      </c>
    </row>
    <row r="52" spans="16:20">
      <c r="P52" s="272" t="s">
        <v>733</v>
      </c>
      <c r="Q52" s="272">
        <f>Q21+Q22+Q23+Q24+Q25+Q26</f>
        <v>4690</v>
      </c>
      <c r="R52" s="272">
        <f>R21+R22+R23+R24+R25+R26</f>
        <v>4710</v>
      </c>
      <c r="S52" s="272">
        <f t="shared" si="4"/>
        <v>9400</v>
      </c>
    </row>
    <row r="53" spans="16:20">
      <c r="P53" s="272" t="s">
        <v>752</v>
      </c>
      <c r="Q53" s="272">
        <f>Q27</f>
        <v>15000</v>
      </c>
      <c r="R53" s="272">
        <f>R27</f>
        <v>15000</v>
      </c>
      <c r="S53" s="272">
        <f t="shared" si="4"/>
        <v>30000</v>
      </c>
    </row>
    <row r="56" spans="16:20">
      <c r="Q56" s="272">
        <f t="shared" ref="Q56:R56" si="5">SUM(Q49:Q55)</f>
        <v>349430</v>
      </c>
      <c r="R56" s="272">
        <f t="shared" si="5"/>
        <v>350950</v>
      </c>
      <c r="S56" s="272">
        <f>SUM(S49:S55)</f>
        <v>700380</v>
      </c>
    </row>
    <row r="60" spans="16:20">
      <c r="P60" s="272" t="s">
        <v>753</v>
      </c>
      <c r="Q60" s="272">
        <f>Q10+Q11+Q12+Q13+Q14+Q15</f>
        <v>56600</v>
      </c>
      <c r="R60" s="272">
        <f>R10+R11+R12+R13+R14+R15</f>
        <v>56600</v>
      </c>
      <c r="S60" s="272">
        <f>S49</f>
        <v>113200</v>
      </c>
      <c r="T60" t="s">
        <v>88</v>
      </c>
    </row>
    <row r="61" spans="16:20">
      <c r="P61" s="272" t="s">
        <v>750</v>
      </c>
      <c r="Q61" s="272">
        <f>Q4+Q5+Q7+Q8</f>
        <v>108000</v>
      </c>
      <c r="R61" s="272">
        <f>R4+R5+R7+R8</f>
        <v>108000</v>
      </c>
      <c r="S61" s="272">
        <f>Q61+R61</f>
        <v>216000</v>
      </c>
    </row>
    <row r="62" spans="16:20">
      <c r="P62" s="272" t="s">
        <v>751</v>
      </c>
      <c r="Q62" s="272">
        <f>Q16+Q17+Q18+Q19+Q20</f>
        <v>11140</v>
      </c>
      <c r="R62" s="272">
        <f>R16+R17+R18+R19+R20</f>
        <v>11140</v>
      </c>
      <c r="S62" s="272">
        <f t="shared" ref="S62" si="6">S51</f>
        <v>22280</v>
      </c>
    </row>
    <row r="63" spans="16:20">
      <c r="P63" s="272" t="s">
        <v>733</v>
      </c>
      <c r="Q63" s="272">
        <f>Q21+Q22+Q23+Q24+Q25+Q26</f>
        <v>4690</v>
      </c>
      <c r="R63" s="272">
        <f>R21+R22+R23+R24+R25+R26</f>
        <v>4710</v>
      </c>
      <c r="S63" s="272">
        <f t="shared" ref="S63" si="7">S52</f>
        <v>9400</v>
      </c>
    </row>
    <row r="64" spans="16:20">
      <c r="P64" s="272" t="s">
        <v>752</v>
      </c>
      <c r="Q64" s="272">
        <f>Q53</f>
        <v>15000</v>
      </c>
      <c r="R64" s="272">
        <f t="shared" ref="R64:S64" si="8">R53</f>
        <v>15000</v>
      </c>
      <c r="S64" s="272">
        <f t="shared" si="8"/>
        <v>30000</v>
      </c>
    </row>
    <row r="66" spans="17:19">
      <c r="Q66" s="272">
        <f>SUM(Q60:Q65)</f>
        <v>195430</v>
      </c>
      <c r="R66" s="272">
        <f t="shared" ref="R66" si="9">SUM(R60:R65)</f>
        <v>195450</v>
      </c>
      <c r="S66" s="272">
        <f>SUM(S60:S65)</f>
        <v>390880</v>
      </c>
    </row>
    <row r="67" spans="17:19">
      <c r="S67" s="272">
        <f>S32-S66</f>
        <v>37000</v>
      </c>
    </row>
  </sheetData>
  <mergeCells count="5">
    <mergeCell ref="N1:T1"/>
    <mergeCell ref="A1:A2"/>
    <mergeCell ref="B1:D1"/>
    <mergeCell ref="E1:I1"/>
    <mergeCell ref="J1:M1"/>
  </mergeCells>
  <phoneticPr fontId="5" type="noConversion"/>
  <pageMargins left="0.7" right="0.7" top="0.75" bottom="0.75" header="0.3" footer="0.3"/>
  <pageSetup paperSize="9" orientation="portrait" r:id="rId1"/>
  <ignoredErrors>
    <ignoredError sqref="K8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topLeftCell="D1" workbookViewId="0">
      <selection activeCell="E24" sqref="E24"/>
    </sheetView>
  </sheetViews>
  <sheetFormatPr defaultRowHeight="14.25"/>
  <cols>
    <col min="1" max="1" width="3" style="269" bestFit="1" customWidth="1"/>
    <col min="2" max="2" width="30.125" style="269" customWidth="1"/>
    <col min="3" max="3" width="11.5" style="269" customWidth="1"/>
    <col min="4" max="4" width="16.125" style="269" customWidth="1"/>
    <col min="5" max="5" width="3.875" style="269" customWidth="1"/>
    <col min="6" max="6" width="7.375" style="269" customWidth="1"/>
    <col min="7" max="7" width="9" style="269"/>
    <col min="8" max="8" width="23.875" style="269" customWidth="1"/>
    <col min="9" max="9" width="35.375" style="269" customWidth="1"/>
    <col min="10" max="10" width="14.875" style="269" customWidth="1"/>
    <col min="11" max="11" width="8.125" style="269" customWidth="1"/>
    <col min="12" max="12" width="6.875" style="269" customWidth="1"/>
    <col min="13" max="13" width="10.5" style="269" customWidth="1"/>
    <col min="14" max="14" width="19.125" style="269" customWidth="1"/>
    <col min="15" max="15" width="12.25" style="269" customWidth="1"/>
    <col min="16" max="20" width="9" style="269"/>
    <col min="21" max="21" width="11" style="269" customWidth="1"/>
    <col min="22" max="22" width="20.375" style="269" customWidth="1"/>
    <col min="23" max="23" width="17.875" style="269" customWidth="1"/>
    <col min="24" max="24" width="15.75" style="269" customWidth="1"/>
    <col min="25" max="25" width="16.25" style="269" hidden="1" customWidth="1"/>
    <col min="26" max="16384" width="9" style="269"/>
  </cols>
  <sheetData>
    <row r="1" spans="1:25" s="270" customFormat="1">
      <c r="A1" s="551" t="s">
        <v>16</v>
      </c>
      <c r="B1" s="553" t="s">
        <v>15</v>
      </c>
      <c r="C1" s="554"/>
      <c r="D1" s="555"/>
      <c r="E1" s="553" t="s">
        <v>14</v>
      </c>
      <c r="F1" s="554"/>
      <c r="G1" s="554"/>
      <c r="H1" s="554"/>
      <c r="I1" s="555"/>
      <c r="J1" s="553" t="s">
        <v>13</v>
      </c>
      <c r="K1" s="554"/>
      <c r="L1" s="554"/>
      <c r="M1" s="555"/>
      <c r="N1" s="553" t="s">
        <v>12</v>
      </c>
      <c r="O1" s="554"/>
      <c r="P1" s="554"/>
      <c r="Q1" s="554"/>
      <c r="R1" s="554"/>
      <c r="S1" s="554"/>
      <c r="T1" s="555"/>
    </row>
    <row r="2" spans="1:25" s="270" customFormat="1" ht="59.25" customHeight="1">
      <c r="A2" s="552"/>
      <c r="B2" s="313" t="s">
        <v>11</v>
      </c>
      <c r="C2" s="271" t="s">
        <v>10</v>
      </c>
      <c r="D2" s="313" t="s">
        <v>6</v>
      </c>
      <c r="E2" s="313" t="s">
        <v>5</v>
      </c>
      <c r="F2" s="313" t="s">
        <v>4</v>
      </c>
      <c r="G2" s="313" t="s">
        <v>9</v>
      </c>
      <c r="H2" s="313" t="s">
        <v>8</v>
      </c>
      <c r="I2" s="313" t="s">
        <v>7</v>
      </c>
      <c r="J2" s="271" t="s">
        <v>6</v>
      </c>
      <c r="K2" s="271" t="s">
        <v>5</v>
      </c>
      <c r="L2" s="271" t="s">
        <v>4</v>
      </c>
      <c r="M2" s="271" t="s">
        <v>3</v>
      </c>
      <c r="N2" s="313" t="s">
        <v>17</v>
      </c>
      <c r="O2" s="313" t="s">
        <v>2</v>
      </c>
      <c r="P2" s="313" t="s">
        <v>1</v>
      </c>
      <c r="Q2" s="348" t="s">
        <v>461</v>
      </c>
      <c r="R2" s="348" t="s">
        <v>684</v>
      </c>
      <c r="S2" s="344" t="s">
        <v>696</v>
      </c>
      <c r="T2" s="313" t="s">
        <v>0</v>
      </c>
      <c r="U2" s="276" t="s">
        <v>114</v>
      </c>
      <c r="V2" s="276" t="s">
        <v>117</v>
      </c>
      <c r="W2" s="277" t="s">
        <v>118</v>
      </c>
      <c r="X2" s="277" t="s">
        <v>537</v>
      </c>
      <c r="Y2" s="277" t="s">
        <v>120</v>
      </c>
    </row>
    <row r="3" spans="1:25" ht="15">
      <c r="A3" s="26">
        <v>1</v>
      </c>
      <c r="B3" s="26" t="s">
        <v>136</v>
      </c>
      <c r="C3" s="521" t="s">
        <v>22</v>
      </c>
      <c r="D3" s="26" t="s">
        <v>148</v>
      </c>
      <c r="E3" s="26">
        <v>15</v>
      </c>
      <c r="F3" s="27" t="s">
        <v>20</v>
      </c>
      <c r="G3" s="27" t="s">
        <v>21</v>
      </c>
      <c r="H3" s="83" t="s">
        <v>176</v>
      </c>
      <c r="I3" s="28" t="s">
        <v>80</v>
      </c>
      <c r="J3" s="26" t="s">
        <v>155</v>
      </c>
      <c r="K3" s="26">
        <v>12</v>
      </c>
      <c r="L3" s="26" t="s">
        <v>20</v>
      </c>
      <c r="M3" s="26" t="s">
        <v>21</v>
      </c>
      <c r="N3" s="198" t="s">
        <v>257</v>
      </c>
      <c r="O3" s="464">
        <v>3309514</v>
      </c>
      <c r="P3" s="465">
        <v>19</v>
      </c>
      <c r="Q3" s="463">
        <v>6569</v>
      </c>
      <c r="R3" s="463">
        <v>6569</v>
      </c>
      <c r="S3" s="463">
        <f>Q3+R3</f>
        <v>13138</v>
      </c>
      <c r="T3" s="26" t="s">
        <v>88</v>
      </c>
      <c r="U3" s="5" t="s">
        <v>115</v>
      </c>
      <c r="V3" s="251" t="s">
        <v>462</v>
      </c>
      <c r="W3" s="275" t="s">
        <v>643</v>
      </c>
      <c r="X3" s="462" t="s">
        <v>764</v>
      </c>
      <c r="Y3" s="82"/>
    </row>
    <row r="4" spans="1:25" ht="15">
      <c r="A4" s="26">
        <v>2</v>
      </c>
      <c r="B4" s="26" t="s">
        <v>136</v>
      </c>
      <c r="C4" s="521" t="s">
        <v>22</v>
      </c>
      <c r="D4" s="26" t="s">
        <v>148</v>
      </c>
      <c r="E4" s="26">
        <v>15</v>
      </c>
      <c r="F4" s="26" t="s">
        <v>20</v>
      </c>
      <c r="G4" s="26" t="s">
        <v>21</v>
      </c>
      <c r="H4" s="100" t="s">
        <v>176</v>
      </c>
      <c r="I4" s="28" t="s">
        <v>156</v>
      </c>
      <c r="J4" s="26" t="s">
        <v>155</v>
      </c>
      <c r="K4" s="26">
        <v>12</v>
      </c>
      <c r="L4" s="26" t="s">
        <v>20</v>
      </c>
      <c r="M4" s="26" t="s">
        <v>21</v>
      </c>
      <c r="N4" s="198" t="s">
        <v>258</v>
      </c>
      <c r="O4" s="464">
        <v>3998986</v>
      </c>
      <c r="P4" s="465">
        <v>5</v>
      </c>
      <c r="Q4" s="463">
        <v>7360</v>
      </c>
      <c r="R4" s="463">
        <v>7360</v>
      </c>
      <c r="S4" s="463">
        <f t="shared" ref="S4:S7" si="0">Q4+R4</f>
        <v>14720</v>
      </c>
      <c r="T4" s="26" t="s">
        <v>88</v>
      </c>
      <c r="U4" s="5" t="s">
        <v>115</v>
      </c>
      <c r="V4" s="251" t="s">
        <v>462</v>
      </c>
      <c r="W4" s="275" t="s">
        <v>643</v>
      </c>
      <c r="X4" s="462" t="s">
        <v>764</v>
      </c>
      <c r="Y4" s="82"/>
    </row>
    <row r="5" spans="1:25" ht="15">
      <c r="A5" s="26">
        <v>3</v>
      </c>
      <c r="B5" s="26" t="s">
        <v>136</v>
      </c>
      <c r="C5" s="521" t="s">
        <v>22</v>
      </c>
      <c r="D5" s="26" t="s">
        <v>148</v>
      </c>
      <c r="E5" s="26">
        <v>15</v>
      </c>
      <c r="F5" s="27" t="s">
        <v>20</v>
      </c>
      <c r="G5" s="26" t="s">
        <v>21</v>
      </c>
      <c r="H5" s="100" t="s">
        <v>176</v>
      </c>
      <c r="I5" s="28" t="s">
        <v>293</v>
      </c>
      <c r="J5" s="26" t="s">
        <v>157</v>
      </c>
      <c r="K5" s="30">
        <v>35</v>
      </c>
      <c r="L5" s="26" t="s">
        <v>20</v>
      </c>
      <c r="M5" s="26" t="s">
        <v>21</v>
      </c>
      <c r="N5" s="198" t="s">
        <v>259</v>
      </c>
      <c r="O5" s="466">
        <v>94737455</v>
      </c>
      <c r="P5" s="465">
        <v>10</v>
      </c>
      <c r="Q5" s="463">
        <v>3846</v>
      </c>
      <c r="R5" s="463">
        <v>3846</v>
      </c>
      <c r="S5" s="463">
        <f t="shared" si="0"/>
        <v>7692</v>
      </c>
      <c r="T5" s="26" t="s">
        <v>88</v>
      </c>
      <c r="U5" s="5" t="s">
        <v>115</v>
      </c>
      <c r="V5" s="251" t="s">
        <v>462</v>
      </c>
      <c r="W5" s="275" t="s">
        <v>643</v>
      </c>
      <c r="X5" s="462" t="s">
        <v>764</v>
      </c>
      <c r="Y5" s="82"/>
    </row>
    <row r="6" spans="1:25" ht="15">
      <c r="A6" s="26">
        <v>4</v>
      </c>
      <c r="B6" s="26" t="s">
        <v>136</v>
      </c>
      <c r="C6" s="521" t="s">
        <v>22</v>
      </c>
      <c r="D6" s="26" t="s">
        <v>148</v>
      </c>
      <c r="E6" s="26">
        <v>15</v>
      </c>
      <c r="F6" s="26" t="s">
        <v>20</v>
      </c>
      <c r="G6" s="26" t="s">
        <v>21</v>
      </c>
      <c r="H6" s="100" t="s">
        <v>176</v>
      </c>
      <c r="I6" s="28" t="s">
        <v>80</v>
      </c>
      <c r="J6" s="26" t="s">
        <v>148</v>
      </c>
      <c r="K6" s="29" t="s">
        <v>158</v>
      </c>
      <c r="L6" s="26" t="s">
        <v>20</v>
      </c>
      <c r="M6" s="26" t="s">
        <v>21</v>
      </c>
      <c r="N6" s="199" t="s">
        <v>442</v>
      </c>
      <c r="O6" s="464">
        <v>13574409</v>
      </c>
      <c r="P6" s="465">
        <v>35</v>
      </c>
      <c r="Q6" s="463">
        <v>43525</v>
      </c>
      <c r="R6" s="463">
        <v>43525</v>
      </c>
      <c r="S6" s="463">
        <f t="shared" si="0"/>
        <v>87050</v>
      </c>
      <c r="T6" s="26" t="s">
        <v>88</v>
      </c>
      <c r="U6" s="5" t="s">
        <v>115</v>
      </c>
      <c r="V6" s="251" t="s">
        <v>462</v>
      </c>
      <c r="W6" s="275" t="s">
        <v>643</v>
      </c>
      <c r="X6" s="462" t="s">
        <v>764</v>
      </c>
      <c r="Y6" s="82"/>
    </row>
    <row r="7" spans="1:25" ht="15">
      <c r="A7" s="26">
        <v>5</v>
      </c>
      <c r="B7" s="26" t="s">
        <v>136</v>
      </c>
      <c r="C7" s="521" t="s">
        <v>22</v>
      </c>
      <c r="D7" s="26" t="s">
        <v>148</v>
      </c>
      <c r="E7" s="26">
        <v>15</v>
      </c>
      <c r="F7" s="26" t="s">
        <v>20</v>
      </c>
      <c r="G7" s="26" t="s">
        <v>21</v>
      </c>
      <c r="H7" s="100" t="s">
        <v>176</v>
      </c>
      <c r="I7" s="28" t="s">
        <v>147</v>
      </c>
      <c r="J7" s="26" t="s">
        <v>452</v>
      </c>
      <c r="K7" s="29" t="s">
        <v>453</v>
      </c>
      <c r="L7" s="26" t="s">
        <v>20</v>
      </c>
      <c r="M7" s="26" t="s">
        <v>21</v>
      </c>
      <c r="N7" s="314" t="s">
        <v>454</v>
      </c>
      <c r="O7" s="464">
        <v>12040990</v>
      </c>
      <c r="P7" s="465">
        <v>7</v>
      </c>
      <c r="Q7" s="463">
        <v>4725</v>
      </c>
      <c r="R7" s="463">
        <v>4725</v>
      </c>
      <c r="S7" s="463">
        <f t="shared" si="0"/>
        <v>9450</v>
      </c>
      <c r="T7" s="26" t="s">
        <v>88</v>
      </c>
      <c r="U7" s="5" t="s">
        <v>115</v>
      </c>
      <c r="V7" s="251" t="s">
        <v>462</v>
      </c>
      <c r="W7" s="275" t="s">
        <v>643</v>
      </c>
      <c r="X7" s="462" t="s">
        <v>764</v>
      </c>
      <c r="Y7" s="82"/>
    </row>
    <row r="9" spans="1:25" ht="15">
      <c r="P9" s="280"/>
      <c r="Q9" s="203"/>
      <c r="R9" s="203"/>
      <c r="S9" s="203"/>
      <c r="T9" s="280"/>
    </row>
    <row r="10" spans="1:25" ht="15">
      <c r="P10" s="280"/>
      <c r="Q10" s="203"/>
      <c r="R10" s="203"/>
      <c r="S10" s="203"/>
      <c r="T10" s="204"/>
      <c r="U10" s="351" t="s">
        <v>720</v>
      </c>
    </row>
    <row r="11" spans="1:25">
      <c r="P11" s="280"/>
      <c r="Q11" s="205">
        <f t="shared" ref="Q11:R11" si="1">SUM(Q3:Q10)</f>
        <v>66025</v>
      </c>
      <c r="R11" s="205">
        <f t="shared" si="1"/>
        <v>66025</v>
      </c>
      <c r="S11" s="205">
        <f>SUM(S3:S10)</f>
        <v>132050</v>
      </c>
      <c r="T11" s="280" t="s">
        <v>88</v>
      </c>
      <c r="U11" s="269">
        <v>5</v>
      </c>
      <c r="V11" s="269" t="s">
        <v>88</v>
      </c>
    </row>
    <row r="12" spans="1:25">
      <c r="P12" s="280"/>
      <c r="Q12" s="280"/>
      <c r="R12" s="280"/>
      <c r="S12" s="280"/>
      <c r="T12" s="280"/>
    </row>
    <row r="13" spans="1:25" ht="15">
      <c r="P13" s="280"/>
      <c r="Q13" s="203"/>
      <c r="R13" s="203"/>
      <c r="S13" s="203"/>
      <c r="T13" s="204"/>
      <c r="V13" s="272"/>
    </row>
    <row r="14" spans="1:25" ht="15">
      <c r="P14" s="280"/>
      <c r="Q14" s="203"/>
      <c r="R14" s="203"/>
      <c r="S14" s="203"/>
      <c r="T14" s="204"/>
      <c r="U14" s="272"/>
    </row>
    <row r="15" spans="1:25" ht="15">
      <c r="O15" s="272"/>
      <c r="P15" s="280"/>
      <c r="Q15" s="203"/>
      <c r="R15" s="203"/>
      <c r="S15" s="203"/>
      <c r="T15" s="204"/>
    </row>
    <row r="16" spans="1:25">
      <c r="P16" s="280"/>
      <c r="Q16" s="280"/>
      <c r="R16" s="280"/>
      <c r="S16" s="280"/>
      <c r="T16" s="280"/>
      <c r="V16" s="272"/>
    </row>
    <row r="17" spans="16:22">
      <c r="P17" s="280"/>
      <c r="Q17" s="205"/>
      <c r="R17" s="205"/>
      <c r="S17" s="205"/>
      <c r="T17" s="280"/>
      <c r="V17" s="272"/>
    </row>
    <row r="18" spans="16:22">
      <c r="P18" s="280"/>
      <c r="Q18" s="205"/>
      <c r="R18" s="205"/>
      <c r="S18" s="205"/>
      <c r="T18" s="280"/>
    </row>
    <row r="19" spans="16:22">
      <c r="P19" s="280"/>
      <c r="Q19" s="280"/>
      <c r="R19" s="280"/>
      <c r="S19" s="280"/>
      <c r="T19" s="280"/>
    </row>
    <row r="20" spans="16:22">
      <c r="P20" s="280"/>
      <c r="Q20" s="280"/>
      <c r="R20" s="280"/>
      <c r="S20" s="280"/>
      <c r="T20" s="280"/>
    </row>
    <row r="21" spans="16:22">
      <c r="P21" s="280"/>
      <c r="Q21" s="280"/>
      <c r="R21" s="280"/>
      <c r="S21" s="280"/>
      <c r="T21" s="280"/>
    </row>
    <row r="22" spans="16:22">
      <c r="P22" s="280"/>
      <c r="Q22" s="280"/>
      <c r="R22" s="280"/>
      <c r="S22" s="280"/>
      <c r="T22" s="280"/>
    </row>
    <row r="24" spans="16:22">
      <c r="Q24" s="272"/>
      <c r="R24" s="272"/>
      <c r="S24" s="272"/>
    </row>
    <row r="25" spans="16:22">
      <c r="Q25" s="272"/>
      <c r="R25" s="272"/>
      <c r="S25" s="272"/>
      <c r="T25" s="280"/>
    </row>
    <row r="26" spans="16:22">
      <c r="Q26" s="272"/>
      <c r="R26" s="272"/>
      <c r="S26" s="272"/>
      <c r="T26" s="280"/>
    </row>
    <row r="27" spans="16:22">
      <c r="Q27" s="272"/>
      <c r="R27" s="272"/>
      <c r="S27" s="272"/>
      <c r="T27" s="280"/>
    </row>
    <row r="28" spans="16:22">
      <c r="Q28" s="272"/>
      <c r="R28" s="272"/>
      <c r="S28" s="272"/>
      <c r="T28" s="280"/>
    </row>
    <row r="29" spans="16:22">
      <c r="Q29" s="272"/>
      <c r="R29" s="272"/>
      <c r="S29" s="272"/>
      <c r="T29" s="280"/>
      <c r="U29" s="272"/>
      <c r="V29" s="272"/>
    </row>
    <row r="30" spans="16:22">
      <c r="Q30" s="272"/>
      <c r="R30" s="272"/>
      <c r="S30" s="272"/>
      <c r="T30" s="280"/>
    </row>
    <row r="31" spans="16:22">
      <c r="Q31" s="272"/>
      <c r="R31" s="272"/>
      <c r="S31" s="272"/>
      <c r="T31" s="280"/>
    </row>
    <row r="32" spans="16:22">
      <c r="Q32" s="272"/>
      <c r="R32" s="272"/>
      <c r="S32" s="272"/>
      <c r="T32" s="280"/>
    </row>
    <row r="33" spans="17:20">
      <c r="Q33" s="272"/>
      <c r="R33" s="272"/>
      <c r="S33" s="272"/>
      <c r="T33" s="280"/>
    </row>
    <row r="34" spans="17:20">
      <c r="Q34" s="272"/>
      <c r="R34" s="272"/>
      <c r="S34" s="272"/>
      <c r="T34" s="280"/>
    </row>
    <row r="35" spans="17:20">
      <c r="Q35" s="272"/>
      <c r="R35" s="272"/>
      <c r="S35" s="272"/>
      <c r="T35" s="280"/>
    </row>
    <row r="36" spans="17:20">
      <c r="Q36" s="272"/>
      <c r="R36" s="272"/>
      <c r="S36" s="272"/>
      <c r="T36" s="280"/>
    </row>
    <row r="37" spans="17:20">
      <c r="Q37" s="272"/>
      <c r="R37" s="272"/>
      <c r="S37" s="272"/>
      <c r="T37" s="280"/>
    </row>
    <row r="38" spans="17:20">
      <c r="Q38" s="272"/>
      <c r="R38" s="272"/>
      <c r="S38" s="272"/>
      <c r="T38" s="280"/>
    </row>
    <row r="39" spans="17:20">
      <c r="Q39" s="272"/>
      <c r="R39" s="272"/>
      <c r="S39" s="272"/>
      <c r="T39" s="280"/>
    </row>
    <row r="40" spans="17:20">
      <c r="Q40" s="272"/>
      <c r="R40" s="272"/>
      <c r="S40" s="272"/>
      <c r="T40" s="280"/>
    </row>
    <row r="41" spans="17:20">
      <c r="Q41" s="272"/>
      <c r="R41" s="272"/>
      <c r="S41" s="272"/>
      <c r="T41" s="280"/>
    </row>
    <row r="42" spans="17:20">
      <c r="Q42" s="272"/>
      <c r="R42" s="272"/>
      <c r="S42" s="272"/>
      <c r="T42" s="280"/>
    </row>
    <row r="43" spans="17:20">
      <c r="Q43" s="272"/>
      <c r="R43" s="272"/>
      <c r="S43" s="272"/>
    </row>
    <row r="44" spans="17:20">
      <c r="Q44" s="272"/>
      <c r="R44" s="272"/>
      <c r="S44" s="272"/>
    </row>
    <row r="45" spans="17:20">
      <c r="Q45" s="272"/>
      <c r="R45" s="272"/>
      <c r="S45" s="272"/>
    </row>
    <row r="48" spans="17:20">
      <c r="Q48" s="272">
        <f>Q43+Q44+Q45</f>
        <v>0</v>
      </c>
      <c r="R48" s="272"/>
      <c r="S48" s="272"/>
    </row>
    <row r="49" spans="16:19">
      <c r="Q49" s="272"/>
      <c r="R49" s="272"/>
      <c r="S49" s="272"/>
    </row>
    <row r="61" spans="16:19">
      <c r="P61" s="269" t="s">
        <v>598</v>
      </c>
      <c r="Q61" s="269">
        <v>6267</v>
      </c>
    </row>
    <row r="62" spans="16:19">
      <c r="P62" s="269" t="s">
        <v>599</v>
      </c>
      <c r="Q62" s="269">
        <v>5227</v>
      </c>
    </row>
    <row r="63" spans="16:19">
      <c r="P63" s="269" t="s">
        <v>600</v>
      </c>
      <c r="Q63" s="269">
        <v>7521</v>
      </c>
    </row>
    <row r="64" spans="16:19">
      <c r="P64" s="269" t="s">
        <v>601</v>
      </c>
    </row>
    <row r="65" spans="16:21">
      <c r="P65" s="269" t="s">
        <v>602</v>
      </c>
      <c r="Q65" s="269">
        <v>6677</v>
      </c>
    </row>
    <row r="66" spans="16:21">
      <c r="P66" s="269" t="s">
        <v>603</v>
      </c>
    </row>
    <row r="67" spans="16:21">
      <c r="P67" s="269" t="s">
        <v>604</v>
      </c>
      <c r="Q67" s="269">
        <v>9360</v>
      </c>
    </row>
    <row r="68" spans="16:21">
      <c r="Q68" s="269">
        <f>SUM(Q61:Q67)</f>
        <v>35052</v>
      </c>
      <c r="T68" s="269">
        <f>Q68/5</f>
        <v>7010.4</v>
      </c>
      <c r="U68" s="269">
        <f>T68*12</f>
        <v>84124.799999999988</v>
      </c>
    </row>
  </sheetData>
  <mergeCells count="5">
    <mergeCell ref="A1:A2"/>
    <mergeCell ref="B1:D1"/>
    <mergeCell ref="E1:I1"/>
    <mergeCell ref="J1:M1"/>
    <mergeCell ref="N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8"/>
  <sheetViews>
    <sheetView topLeftCell="E9" workbookViewId="0">
      <selection activeCell="R54" sqref="R54"/>
    </sheetView>
  </sheetViews>
  <sheetFormatPr defaultRowHeight="14.25"/>
  <cols>
    <col min="1" max="1" width="3" bestFit="1" customWidth="1"/>
    <col min="2" max="2" width="30.125" customWidth="1"/>
    <col min="3" max="3" width="11.5" customWidth="1"/>
    <col min="4" max="4" width="16.125" customWidth="1"/>
    <col min="5" max="5" width="3.875" customWidth="1"/>
    <col min="6" max="6" width="7.375" customWidth="1"/>
    <col min="8" max="8" width="23.875" customWidth="1"/>
    <col min="9" max="9" width="35.375" customWidth="1"/>
    <col min="10" max="10" width="14.875" customWidth="1"/>
    <col min="11" max="11" width="8.125" customWidth="1"/>
    <col min="12" max="12" width="6.875" customWidth="1"/>
    <col min="13" max="13" width="10.5" customWidth="1"/>
    <col min="14" max="14" width="19.125" customWidth="1"/>
    <col min="15" max="15" width="12.25" customWidth="1"/>
    <col min="17" max="18" width="9" style="269"/>
    <col min="21" max="21" width="11" customWidth="1"/>
    <col min="22" max="22" width="20.375" customWidth="1"/>
    <col min="23" max="23" width="17.875" customWidth="1"/>
    <col min="24" max="24" width="14.75" customWidth="1"/>
    <col min="25" max="25" width="16.25" hidden="1" customWidth="1"/>
  </cols>
  <sheetData>
    <row r="1" spans="1:25" s="1" customFormat="1">
      <c r="A1" s="551" t="s">
        <v>16</v>
      </c>
      <c r="B1" s="553" t="s">
        <v>15</v>
      </c>
      <c r="C1" s="554"/>
      <c r="D1" s="555"/>
      <c r="E1" s="553" t="s">
        <v>14</v>
      </c>
      <c r="F1" s="554"/>
      <c r="G1" s="554"/>
      <c r="H1" s="554"/>
      <c r="I1" s="555"/>
      <c r="J1" s="553" t="s">
        <v>13</v>
      </c>
      <c r="K1" s="554"/>
      <c r="L1" s="554"/>
      <c r="M1" s="555"/>
      <c r="N1" s="553" t="s">
        <v>12</v>
      </c>
      <c r="O1" s="554"/>
      <c r="P1" s="554"/>
      <c r="Q1" s="554"/>
      <c r="R1" s="554"/>
      <c r="S1" s="554"/>
      <c r="T1" s="555"/>
    </row>
    <row r="2" spans="1:25" s="1" customFormat="1" ht="59.25" customHeight="1">
      <c r="A2" s="552"/>
      <c r="B2" s="3" t="s">
        <v>11</v>
      </c>
      <c r="C2" s="4" t="s">
        <v>10</v>
      </c>
      <c r="D2" s="3" t="s">
        <v>6</v>
      </c>
      <c r="E2" s="3" t="s">
        <v>5</v>
      </c>
      <c r="F2" s="3" t="s">
        <v>4</v>
      </c>
      <c r="G2" s="3" t="s">
        <v>9</v>
      </c>
      <c r="H2" s="3" t="s">
        <v>8</v>
      </c>
      <c r="I2" s="3" t="s">
        <v>7</v>
      </c>
      <c r="J2" s="4" t="s">
        <v>6</v>
      </c>
      <c r="K2" s="4" t="s">
        <v>5</v>
      </c>
      <c r="L2" s="4" t="s">
        <v>4</v>
      </c>
      <c r="M2" s="4" t="s">
        <v>3</v>
      </c>
      <c r="N2" s="3" t="s">
        <v>17</v>
      </c>
      <c r="O2" s="3" t="s">
        <v>2</v>
      </c>
      <c r="P2" s="3" t="s">
        <v>1</v>
      </c>
      <c r="Q2" s="348" t="s">
        <v>461</v>
      </c>
      <c r="R2" s="348" t="s">
        <v>684</v>
      </c>
      <c r="S2" s="3" t="s">
        <v>683</v>
      </c>
      <c r="T2" s="3" t="s">
        <v>0</v>
      </c>
      <c r="U2" s="21" t="s">
        <v>114</v>
      </c>
      <c r="V2" s="21" t="s">
        <v>117</v>
      </c>
      <c r="W2" s="22" t="s">
        <v>118</v>
      </c>
      <c r="X2" s="22" t="s">
        <v>537</v>
      </c>
      <c r="Y2" s="22" t="s">
        <v>120</v>
      </c>
    </row>
    <row r="3" spans="1:25" ht="14.25" customHeight="1">
      <c r="A3" s="31">
        <v>1</v>
      </c>
      <c r="B3" s="31" t="s">
        <v>137</v>
      </c>
      <c r="C3" s="33" t="s">
        <v>22</v>
      </c>
      <c r="D3" s="31" t="s">
        <v>149</v>
      </c>
      <c r="E3" s="32">
        <v>38</v>
      </c>
      <c r="F3" s="31" t="s">
        <v>129</v>
      </c>
      <c r="G3" s="31" t="s">
        <v>21</v>
      </c>
      <c r="H3" s="126" t="s">
        <v>289</v>
      </c>
      <c r="I3" s="31" t="s">
        <v>137</v>
      </c>
      <c r="J3" s="31" t="str">
        <f>D3</f>
        <v>ZYGMUNTOWSKA</v>
      </c>
      <c r="K3" s="31">
        <f>E3</f>
        <v>38</v>
      </c>
      <c r="L3" s="31" t="s">
        <v>20</v>
      </c>
      <c r="M3" s="31" t="s">
        <v>21</v>
      </c>
      <c r="N3" s="106" t="s">
        <v>260</v>
      </c>
      <c r="O3" s="35" t="s">
        <v>710</v>
      </c>
      <c r="P3" s="31">
        <v>26</v>
      </c>
      <c r="Q3" s="484">
        <v>29328</v>
      </c>
      <c r="R3" s="484">
        <v>29328</v>
      </c>
      <c r="S3" s="484">
        <f>Q3+R3</f>
        <v>58656</v>
      </c>
      <c r="T3" s="31" t="s">
        <v>88</v>
      </c>
      <c r="U3" s="5" t="s">
        <v>115</v>
      </c>
      <c r="V3" s="251" t="s">
        <v>462</v>
      </c>
      <c r="W3" s="16" t="s">
        <v>643</v>
      </c>
      <c r="X3" s="462" t="s">
        <v>764</v>
      </c>
      <c r="Y3" s="24"/>
    </row>
    <row r="4" spans="1:25" ht="14.25" customHeight="1">
      <c r="A4" s="31">
        <v>2</v>
      </c>
      <c r="B4" s="31" t="s">
        <v>138</v>
      </c>
      <c r="C4" s="33" t="s">
        <v>22</v>
      </c>
      <c r="D4" s="34" t="s">
        <v>150</v>
      </c>
      <c r="E4" s="31">
        <v>8</v>
      </c>
      <c r="F4" s="34" t="s">
        <v>20</v>
      </c>
      <c r="G4" s="34" t="s">
        <v>21</v>
      </c>
      <c r="H4" s="101" t="s">
        <v>181</v>
      </c>
      <c r="I4" s="31" t="s">
        <v>138</v>
      </c>
      <c r="J4" s="31" t="str">
        <f t="shared" ref="J4:K20" si="0">D4</f>
        <v>BORZYMOWSKIEGO</v>
      </c>
      <c r="K4" s="31">
        <f t="shared" ref="K4:K12" si="1">E4</f>
        <v>8</v>
      </c>
      <c r="L4" s="31" t="s">
        <v>20</v>
      </c>
      <c r="M4" s="31" t="s">
        <v>21</v>
      </c>
      <c r="N4" s="35" t="s">
        <v>274</v>
      </c>
      <c r="O4" s="35" t="s">
        <v>711</v>
      </c>
      <c r="P4" s="31">
        <v>40</v>
      </c>
      <c r="Q4" s="484">
        <v>21426</v>
      </c>
      <c r="R4" s="484">
        <v>21426</v>
      </c>
      <c r="S4" s="484">
        <f t="shared" ref="S4:S10" si="2">Q4+R4</f>
        <v>42852</v>
      </c>
      <c r="T4" s="31" t="s">
        <v>88</v>
      </c>
      <c r="U4" s="5" t="s">
        <v>115</v>
      </c>
      <c r="V4" s="251" t="s">
        <v>462</v>
      </c>
      <c r="W4" s="16" t="s">
        <v>643</v>
      </c>
      <c r="X4" s="462" t="s">
        <v>764</v>
      </c>
      <c r="Y4" s="24"/>
    </row>
    <row r="5" spans="1:25">
      <c r="A5" s="31">
        <v>3</v>
      </c>
      <c r="B5" s="31" t="s">
        <v>139</v>
      </c>
      <c r="C5" s="33" t="s">
        <v>22</v>
      </c>
      <c r="D5" s="31" t="s">
        <v>36</v>
      </c>
      <c r="E5" s="32">
        <v>23</v>
      </c>
      <c r="F5" s="31" t="s">
        <v>20</v>
      </c>
      <c r="G5" s="31" t="s">
        <v>21</v>
      </c>
      <c r="H5" s="123" t="s">
        <v>286</v>
      </c>
      <c r="I5" s="31" t="s">
        <v>139</v>
      </c>
      <c r="J5" s="31" t="str">
        <f t="shared" si="0"/>
        <v>UNII LUBELSKIEJ</v>
      </c>
      <c r="K5" s="31">
        <f t="shared" si="1"/>
        <v>23</v>
      </c>
      <c r="L5" s="31" t="s">
        <v>20</v>
      </c>
      <c r="M5" s="31" t="s">
        <v>21</v>
      </c>
      <c r="N5" s="35" t="s">
        <v>261</v>
      </c>
      <c r="O5" s="35" t="s">
        <v>712</v>
      </c>
      <c r="P5" s="31">
        <v>39</v>
      </c>
      <c r="Q5" s="484">
        <v>16993</v>
      </c>
      <c r="R5" s="484">
        <v>16993</v>
      </c>
      <c r="S5" s="484">
        <f t="shared" si="2"/>
        <v>33986</v>
      </c>
      <c r="T5" s="31" t="s">
        <v>88</v>
      </c>
      <c r="U5" s="5" t="s">
        <v>115</v>
      </c>
      <c r="V5" s="251" t="s">
        <v>462</v>
      </c>
      <c r="W5" s="275" t="s">
        <v>643</v>
      </c>
      <c r="X5" s="462" t="s">
        <v>764</v>
      </c>
      <c r="Y5" s="24"/>
    </row>
    <row r="6" spans="1:25">
      <c r="A6" s="31">
        <v>4</v>
      </c>
      <c r="B6" s="31" t="s">
        <v>140</v>
      </c>
      <c r="C6" s="33" t="s">
        <v>22</v>
      </c>
      <c r="D6" s="32" t="s">
        <v>151</v>
      </c>
      <c r="E6" s="32">
        <v>9</v>
      </c>
      <c r="F6" s="34" t="s">
        <v>20</v>
      </c>
      <c r="G6" s="34" t="s">
        <v>21</v>
      </c>
      <c r="H6" s="36" t="s">
        <v>177</v>
      </c>
      <c r="I6" s="31" t="s">
        <v>140</v>
      </c>
      <c r="J6" s="31" t="str">
        <f t="shared" si="0"/>
        <v>KOŚCIUSZKI</v>
      </c>
      <c r="K6" s="31">
        <f t="shared" si="1"/>
        <v>9</v>
      </c>
      <c r="L6" s="31" t="s">
        <v>20</v>
      </c>
      <c r="M6" s="31" t="s">
        <v>21</v>
      </c>
      <c r="N6" s="35" t="s">
        <v>262</v>
      </c>
      <c r="O6" s="35" t="s">
        <v>713</v>
      </c>
      <c r="P6" s="31">
        <v>39</v>
      </c>
      <c r="Q6" s="484">
        <v>18000</v>
      </c>
      <c r="R6" s="31">
        <v>18000</v>
      </c>
      <c r="S6" s="484">
        <f t="shared" si="2"/>
        <v>36000</v>
      </c>
      <c r="T6" s="31" t="s">
        <v>88</v>
      </c>
      <c r="U6" s="5" t="s">
        <v>115</v>
      </c>
      <c r="V6" s="251" t="s">
        <v>462</v>
      </c>
      <c r="W6" s="275" t="s">
        <v>643</v>
      </c>
      <c r="X6" s="462" t="s">
        <v>764</v>
      </c>
      <c r="Y6" s="24"/>
    </row>
    <row r="7" spans="1:25">
      <c r="A7" s="31">
        <v>5</v>
      </c>
      <c r="B7" s="31" t="s">
        <v>141</v>
      </c>
      <c r="C7" s="33" t="s">
        <v>22</v>
      </c>
      <c r="D7" s="32" t="s">
        <v>41</v>
      </c>
      <c r="E7" s="32">
        <v>17</v>
      </c>
      <c r="F7" s="31" t="s">
        <v>20</v>
      </c>
      <c r="G7" s="31" t="s">
        <v>21</v>
      </c>
      <c r="H7" s="124" t="s">
        <v>284</v>
      </c>
      <c r="I7" s="31" t="s">
        <v>141</v>
      </c>
      <c r="J7" s="31" t="str">
        <f t="shared" si="0"/>
        <v>BOGUSŁAWA X</v>
      </c>
      <c r="K7" s="31">
        <f t="shared" si="1"/>
        <v>17</v>
      </c>
      <c r="L7" s="31" t="s">
        <v>20</v>
      </c>
      <c r="M7" s="31" t="s">
        <v>21</v>
      </c>
      <c r="N7" s="35" t="s">
        <v>263</v>
      </c>
      <c r="O7" s="35" t="s">
        <v>714</v>
      </c>
      <c r="P7" s="31">
        <v>39</v>
      </c>
      <c r="Q7" s="484">
        <v>20000</v>
      </c>
      <c r="R7" s="31">
        <v>20000</v>
      </c>
      <c r="S7" s="484">
        <f t="shared" si="2"/>
        <v>40000</v>
      </c>
      <c r="T7" s="31" t="s">
        <v>88</v>
      </c>
      <c r="U7" s="5" t="s">
        <v>115</v>
      </c>
      <c r="V7" s="251" t="s">
        <v>462</v>
      </c>
      <c r="W7" s="275" t="s">
        <v>643</v>
      </c>
      <c r="X7" s="462" t="s">
        <v>764</v>
      </c>
      <c r="Y7" s="24"/>
    </row>
    <row r="8" spans="1:25">
      <c r="A8" s="31">
        <v>6</v>
      </c>
      <c r="B8" s="31" t="s">
        <v>142</v>
      </c>
      <c r="C8" s="33" t="s">
        <v>22</v>
      </c>
      <c r="D8" s="32" t="s">
        <v>152</v>
      </c>
      <c r="E8" s="32" t="s">
        <v>153</v>
      </c>
      <c r="F8" s="34" t="s">
        <v>20</v>
      </c>
      <c r="G8" s="34" t="s">
        <v>21</v>
      </c>
      <c r="H8" s="36" t="s">
        <v>178</v>
      </c>
      <c r="I8" s="31" t="s">
        <v>142</v>
      </c>
      <c r="J8" s="31" t="str">
        <f t="shared" si="0"/>
        <v>BOCIANIA</v>
      </c>
      <c r="K8" s="31" t="str">
        <f t="shared" si="1"/>
        <v>4A</v>
      </c>
      <c r="L8" s="31" t="s">
        <v>20</v>
      </c>
      <c r="M8" s="31" t="s">
        <v>21</v>
      </c>
      <c r="N8" s="35" t="s">
        <v>264</v>
      </c>
      <c r="O8" s="35" t="s">
        <v>715</v>
      </c>
      <c r="P8" s="31">
        <v>39</v>
      </c>
      <c r="Q8" s="484">
        <v>22000</v>
      </c>
      <c r="R8" s="31">
        <v>22000</v>
      </c>
      <c r="S8" s="484">
        <f t="shared" si="2"/>
        <v>44000</v>
      </c>
      <c r="T8" s="31" t="s">
        <v>88</v>
      </c>
      <c r="U8" s="5" t="s">
        <v>115</v>
      </c>
      <c r="V8" s="251" t="s">
        <v>462</v>
      </c>
      <c r="W8" s="275" t="s">
        <v>643</v>
      </c>
      <c r="X8" s="462" t="s">
        <v>764</v>
      </c>
      <c r="Y8" s="24"/>
    </row>
    <row r="9" spans="1:25">
      <c r="A9" s="31">
        <v>7</v>
      </c>
      <c r="B9" s="31" t="s">
        <v>143</v>
      </c>
      <c r="C9" s="33" t="s">
        <v>22</v>
      </c>
      <c r="D9" s="32" t="s">
        <v>148</v>
      </c>
      <c r="E9" s="32">
        <v>4</v>
      </c>
      <c r="F9" s="31" t="s">
        <v>20</v>
      </c>
      <c r="G9" s="31" t="s">
        <v>21</v>
      </c>
      <c r="H9" s="102" t="s">
        <v>179</v>
      </c>
      <c r="I9" s="31" t="s">
        <v>143</v>
      </c>
      <c r="J9" s="31" t="str">
        <f t="shared" si="0"/>
        <v>OKOPOWA</v>
      </c>
      <c r="K9" s="31">
        <f t="shared" si="1"/>
        <v>4</v>
      </c>
      <c r="L9" s="31" t="s">
        <v>20</v>
      </c>
      <c r="M9" s="31" t="s">
        <v>21</v>
      </c>
      <c r="N9" s="105" t="s">
        <v>275</v>
      </c>
      <c r="O9" s="35" t="s">
        <v>294</v>
      </c>
      <c r="P9" s="31">
        <v>26</v>
      </c>
      <c r="Q9" s="484">
        <v>27000</v>
      </c>
      <c r="R9" s="31">
        <v>27000</v>
      </c>
      <c r="S9" s="484">
        <f t="shared" si="2"/>
        <v>54000</v>
      </c>
      <c r="T9" s="31" t="s">
        <v>159</v>
      </c>
      <c r="U9" s="5" t="s">
        <v>115</v>
      </c>
      <c r="V9" s="251" t="s">
        <v>462</v>
      </c>
      <c r="W9" s="275" t="s">
        <v>643</v>
      </c>
      <c r="X9" s="462" t="s">
        <v>764</v>
      </c>
      <c r="Y9" s="24"/>
    </row>
    <row r="10" spans="1:25" ht="15" thickBot="1">
      <c r="A10" s="31">
        <v>8</v>
      </c>
      <c r="B10" s="37" t="s">
        <v>154</v>
      </c>
      <c r="C10" s="33" t="s">
        <v>22</v>
      </c>
      <c r="D10" s="37" t="s">
        <v>41</v>
      </c>
      <c r="E10" s="37">
        <v>18</v>
      </c>
      <c r="F10" s="38" t="s">
        <v>20</v>
      </c>
      <c r="G10" s="38" t="s">
        <v>21</v>
      </c>
      <c r="H10" s="125" t="s">
        <v>287</v>
      </c>
      <c r="I10" s="37" t="s">
        <v>154</v>
      </c>
      <c r="J10" s="32" t="str">
        <f t="shared" si="0"/>
        <v>BOGUSŁAWA X</v>
      </c>
      <c r="K10" s="32">
        <f t="shared" si="1"/>
        <v>18</v>
      </c>
      <c r="L10" s="32" t="s">
        <v>20</v>
      </c>
      <c r="M10" s="32" t="s">
        <v>21</v>
      </c>
      <c r="N10" s="41" t="s">
        <v>265</v>
      </c>
      <c r="O10" s="485" t="s">
        <v>716</v>
      </c>
      <c r="P10" s="32">
        <v>39</v>
      </c>
      <c r="Q10" s="486">
        <v>18397</v>
      </c>
      <c r="R10" s="32">
        <v>20000</v>
      </c>
      <c r="S10" s="484">
        <f t="shared" si="2"/>
        <v>38397</v>
      </c>
      <c r="T10" s="37" t="s">
        <v>88</v>
      </c>
      <c r="U10" s="5" t="s">
        <v>115</v>
      </c>
      <c r="V10" s="251" t="s">
        <v>462</v>
      </c>
      <c r="W10" s="275" t="s">
        <v>643</v>
      </c>
      <c r="X10" s="462" t="s">
        <v>764</v>
      </c>
      <c r="Y10" s="24"/>
    </row>
    <row r="11" spans="1:25" s="39" customFormat="1" ht="14.25" customHeight="1">
      <c r="A11" s="48">
        <v>9</v>
      </c>
      <c r="B11" s="49" t="s">
        <v>161</v>
      </c>
      <c r="C11" s="50" t="s">
        <v>22</v>
      </c>
      <c r="D11" s="49" t="s">
        <v>166</v>
      </c>
      <c r="E11" s="49">
        <v>9</v>
      </c>
      <c r="F11" s="51" t="s">
        <v>20</v>
      </c>
      <c r="G11" s="49" t="s">
        <v>21</v>
      </c>
      <c r="H11" s="224" t="s">
        <v>456</v>
      </c>
      <c r="I11" s="52" t="s">
        <v>768</v>
      </c>
      <c r="J11" s="52" t="str">
        <f t="shared" si="0"/>
        <v xml:space="preserve">POZNAŃSKA </v>
      </c>
      <c r="K11" s="52">
        <f t="shared" si="1"/>
        <v>9</v>
      </c>
      <c r="L11" s="52" t="s">
        <v>20</v>
      </c>
      <c r="M11" s="52" t="s">
        <v>21</v>
      </c>
      <c r="N11" s="53" t="s">
        <v>266</v>
      </c>
      <c r="O11" s="487" t="s">
        <v>706</v>
      </c>
      <c r="P11" s="51">
        <v>33</v>
      </c>
      <c r="Q11" s="488">
        <v>74000</v>
      </c>
      <c r="R11" s="51">
        <v>74000</v>
      </c>
      <c r="S11" s="489">
        <f>Q11+R11</f>
        <v>148000</v>
      </c>
      <c r="T11" s="54" t="s">
        <v>87</v>
      </c>
      <c r="U11" s="5" t="s">
        <v>115</v>
      </c>
      <c r="V11" s="251" t="s">
        <v>462</v>
      </c>
      <c r="W11" s="275" t="s">
        <v>643</v>
      </c>
      <c r="X11" s="462" t="s">
        <v>764</v>
      </c>
      <c r="Y11" s="40"/>
    </row>
    <row r="12" spans="1:25" s="39" customFormat="1">
      <c r="A12" s="55">
        <v>10</v>
      </c>
      <c r="B12" s="56" t="s">
        <v>161</v>
      </c>
      <c r="C12" s="166" t="s">
        <v>22</v>
      </c>
      <c r="D12" s="56" t="s">
        <v>166</v>
      </c>
      <c r="E12" s="56">
        <v>9</v>
      </c>
      <c r="F12" s="58" t="s">
        <v>20</v>
      </c>
      <c r="G12" s="56" t="s">
        <v>21</v>
      </c>
      <c r="H12" s="224" t="s">
        <v>456</v>
      </c>
      <c r="I12" s="62" t="s">
        <v>768</v>
      </c>
      <c r="J12" s="59" t="str">
        <f t="shared" si="0"/>
        <v xml:space="preserve">POZNAŃSKA </v>
      </c>
      <c r="K12" s="59">
        <f t="shared" si="1"/>
        <v>9</v>
      </c>
      <c r="L12" s="59" t="s">
        <v>20</v>
      </c>
      <c r="M12" s="59" t="s">
        <v>21</v>
      </c>
      <c r="N12" s="60" t="s">
        <v>267</v>
      </c>
      <c r="O12" s="209" t="s">
        <v>707</v>
      </c>
      <c r="P12" s="62">
        <v>27</v>
      </c>
      <c r="Q12" s="490">
        <v>35000</v>
      </c>
      <c r="R12" s="62">
        <v>35000</v>
      </c>
      <c r="S12" s="490">
        <f t="shared" ref="S12:S15" si="3">Q12+R12</f>
        <v>70000</v>
      </c>
      <c r="T12" s="61" t="s">
        <v>88</v>
      </c>
      <c r="U12" s="5" t="s">
        <v>115</v>
      </c>
      <c r="V12" s="251" t="s">
        <v>462</v>
      </c>
      <c r="W12" s="275" t="s">
        <v>643</v>
      </c>
      <c r="X12" s="462" t="s">
        <v>764</v>
      </c>
      <c r="Y12" s="40"/>
    </row>
    <row r="13" spans="1:25" s="39" customFormat="1">
      <c r="A13" s="55">
        <v>11</v>
      </c>
      <c r="B13" s="56" t="s">
        <v>161</v>
      </c>
      <c r="C13" s="57" t="s">
        <v>22</v>
      </c>
      <c r="D13" s="56" t="s">
        <v>166</v>
      </c>
      <c r="E13" s="56">
        <v>9</v>
      </c>
      <c r="F13" s="62" t="s">
        <v>20</v>
      </c>
      <c r="G13" s="56" t="s">
        <v>21</v>
      </c>
      <c r="H13" s="224" t="s">
        <v>456</v>
      </c>
      <c r="I13" s="62" t="s">
        <v>769</v>
      </c>
      <c r="J13" s="59" t="s">
        <v>168</v>
      </c>
      <c r="K13" s="59" t="s">
        <v>172</v>
      </c>
      <c r="L13" s="59" t="s">
        <v>20</v>
      </c>
      <c r="M13" s="59" t="s">
        <v>21</v>
      </c>
      <c r="N13" s="60" t="s">
        <v>268</v>
      </c>
      <c r="O13" s="209" t="s">
        <v>173</v>
      </c>
      <c r="P13" s="62">
        <v>5</v>
      </c>
      <c r="Q13" s="490">
        <v>9000</v>
      </c>
      <c r="R13" s="62">
        <v>9000</v>
      </c>
      <c r="S13" s="490">
        <f t="shared" si="3"/>
        <v>18000</v>
      </c>
      <c r="T13" s="61" t="s">
        <v>88</v>
      </c>
      <c r="U13" s="5" t="s">
        <v>115</v>
      </c>
      <c r="V13" s="251" t="s">
        <v>462</v>
      </c>
      <c r="W13" s="275" t="s">
        <v>643</v>
      </c>
      <c r="X13" s="462" t="s">
        <v>764</v>
      </c>
      <c r="Y13" s="40"/>
    </row>
    <row r="14" spans="1:25" s="39" customFormat="1" ht="24.75">
      <c r="A14" s="55">
        <v>12</v>
      </c>
      <c r="B14" s="59" t="s">
        <v>161</v>
      </c>
      <c r="C14" s="57" t="s">
        <v>22</v>
      </c>
      <c r="D14" s="62" t="s">
        <v>166</v>
      </c>
      <c r="E14" s="62">
        <v>9</v>
      </c>
      <c r="F14" s="62" t="s">
        <v>20</v>
      </c>
      <c r="G14" s="62" t="s">
        <v>21</v>
      </c>
      <c r="H14" s="224" t="s">
        <v>456</v>
      </c>
      <c r="I14" s="62" t="s">
        <v>770</v>
      </c>
      <c r="J14" s="62" t="s">
        <v>168</v>
      </c>
      <c r="K14" s="62">
        <v>13</v>
      </c>
      <c r="L14" s="62" t="s">
        <v>20</v>
      </c>
      <c r="M14" s="62" t="s">
        <v>21</v>
      </c>
      <c r="N14" s="209" t="s">
        <v>269</v>
      </c>
      <c r="O14" s="209" t="s">
        <v>708</v>
      </c>
      <c r="P14" s="62">
        <v>5</v>
      </c>
      <c r="Q14" s="490">
        <v>5000</v>
      </c>
      <c r="R14" s="62">
        <v>5000</v>
      </c>
      <c r="S14" s="490">
        <f t="shared" si="3"/>
        <v>10000</v>
      </c>
      <c r="T14" s="62" t="s">
        <v>88</v>
      </c>
      <c r="U14" s="5" t="s">
        <v>115</v>
      </c>
      <c r="V14" s="251" t="s">
        <v>462</v>
      </c>
      <c r="W14" s="275" t="s">
        <v>643</v>
      </c>
      <c r="X14" s="462" t="s">
        <v>764</v>
      </c>
      <c r="Y14" s="40"/>
    </row>
    <row r="15" spans="1:25" s="39" customFormat="1" ht="15" thickBot="1">
      <c r="A15" s="55">
        <v>13</v>
      </c>
      <c r="B15" s="56" t="s">
        <v>161</v>
      </c>
      <c r="C15" s="57" t="s">
        <v>22</v>
      </c>
      <c r="D15" s="58" t="s">
        <v>166</v>
      </c>
      <c r="E15" s="58">
        <v>9</v>
      </c>
      <c r="F15" s="544" t="s">
        <v>20</v>
      </c>
      <c r="G15" s="58" t="s">
        <v>21</v>
      </c>
      <c r="H15" s="224" t="s">
        <v>456</v>
      </c>
      <c r="I15" s="58" t="s">
        <v>771</v>
      </c>
      <c r="J15" s="58" t="s">
        <v>457</v>
      </c>
      <c r="K15" s="58"/>
      <c r="L15" s="59" t="s">
        <v>20</v>
      </c>
      <c r="M15" s="59" t="s">
        <v>21</v>
      </c>
      <c r="N15" s="207" t="s">
        <v>533</v>
      </c>
      <c r="O15" s="491" t="s">
        <v>709</v>
      </c>
      <c r="P15" s="492">
        <v>40</v>
      </c>
      <c r="Q15" s="493">
        <v>10000</v>
      </c>
      <c r="R15" s="492">
        <v>10000</v>
      </c>
      <c r="S15" s="494">
        <f t="shared" si="3"/>
        <v>20000</v>
      </c>
      <c r="T15" s="208" t="s">
        <v>88</v>
      </c>
      <c r="U15" s="5" t="s">
        <v>115</v>
      </c>
      <c r="V15" s="251" t="s">
        <v>462</v>
      </c>
      <c r="W15" s="275" t="s">
        <v>643</v>
      </c>
      <c r="X15" s="462" t="s">
        <v>764</v>
      </c>
      <c r="Y15" s="40"/>
    </row>
    <row r="16" spans="1:25" s="39" customFormat="1">
      <c r="A16" s="63">
        <v>14</v>
      </c>
      <c r="B16" s="64" t="s">
        <v>162</v>
      </c>
      <c r="C16" s="65" t="s">
        <v>22</v>
      </c>
      <c r="D16" s="64" t="s">
        <v>54</v>
      </c>
      <c r="E16" s="64">
        <v>20</v>
      </c>
      <c r="F16" s="66" t="s">
        <v>20</v>
      </c>
      <c r="G16" s="64" t="s">
        <v>21</v>
      </c>
      <c r="H16" s="223" t="s">
        <v>170</v>
      </c>
      <c r="I16" s="67" t="s">
        <v>772</v>
      </c>
      <c r="J16" s="67" t="str">
        <f t="shared" si="0"/>
        <v>ARCISZEWSKIEGO</v>
      </c>
      <c r="K16" s="67" t="s">
        <v>169</v>
      </c>
      <c r="L16" s="67" t="s">
        <v>20</v>
      </c>
      <c r="M16" s="67" t="s">
        <v>21</v>
      </c>
      <c r="N16" s="68" t="s">
        <v>270</v>
      </c>
      <c r="O16" s="495" t="s">
        <v>723</v>
      </c>
      <c r="P16" s="66">
        <v>26</v>
      </c>
      <c r="Q16" s="496">
        <v>11000</v>
      </c>
      <c r="R16" s="496">
        <v>11000</v>
      </c>
      <c r="S16" s="496">
        <f t="shared" ref="S16:S24" si="4">Q16+R16</f>
        <v>22000</v>
      </c>
      <c r="T16" s="69" t="s">
        <v>88</v>
      </c>
      <c r="U16" s="5" t="s">
        <v>115</v>
      </c>
      <c r="V16" s="251" t="s">
        <v>462</v>
      </c>
      <c r="W16" s="275" t="s">
        <v>643</v>
      </c>
      <c r="X16" s="462" t="s">
        <v>764</v>
      </c>
      <c r="Y16" s="40"/>
    </row>
    <row r="17" spans="1:25" s="39" customFormat="1" ht="15" thickBot="1">
      <c r="A17" s="70">
        <v>15</v>
      </c>
      <c r="B17" s="71" t="s">
        <v>162</v>
      </c>
      <c r="C17" s="72" t="s">
        <v>22</v>
      </c>
      <c r="D17" s="71" t="s">
        <v>54</v>
      </c>
      <c r="E17" s="71">
        <v>20</v>
      </c>
      <c r="F17" s="73" t="s">
        <v>20</v>
      </c>
      <c r="G17" s="71" t="s">
        <v>21</v>
      </c>
      <c r="H17" s="103" t="s">
        <v>170</v>
      </c>
      <c r="I17" s="71" t="s">
        <v>773</v>
      </c>
      <c r="J17" s="71" t="str">
        <f t="shared" si="0"/>
        <v>ARCISZEWSKIEGO</v>
      </c>
      <c r="K17" s="71">
        <v>20</v>
      </c>
      <c r="L17" s="71" t="s">
        <v>20</v>
      </c>
      <c r="M17" s="71" t="s">
        <v>21</v>
      </c>
      <c r="N17" s="74" t="s">
        <v>721</v>
      </c>
      <c r="O17" s="497" t="s">
        <v>722</v>
      </c>
      <c r="P17" s="498">
        <v>35</v>
      </c>
      <c r="Q17" s="499">
        <v>50000</v>
      </c>
      <c r="R17" s="499">
        <v>50000</v>
      </c>
      <c r="S17" s="499">
        <f t="shared" si="4"/>
        <v>100000</v>
      </c>
      <c r="T17" s="75" t="s">
        <v>87</v>
      </c>
      <c r="U17" s="5" t="s">
        <v>115</v>
      </c>
      <c r="V17" s="251" t="s">
        <v>462</v>
      </c>
      <c r="W17" s="275" t="s">
        <v>643</v>
      </c>
      <c r="X17" s="462" t="s">
        <v>764</v>
      </c>
      <c r="Y17" s="40"/>
    </row>
    <row r="18" spans="1:25" ht="15" thickBot="1">
      <c r="A18" s="42">
        <v>16</v>
      </c>
      <c r="B18" s="43" t="s">
        <v>163</v>
      </c>
      <c r="C18" s="44" t="s">
        <v>22</v>
      </c>
      <c r="D18" s="43" t="s">
        <v>167</v>
      </c>
      <c r="E18" s="43">
        <v>1</v>
      </c>
      <c r="F18" s="47" t="s">
        <v>20</v>
      </c>
      <c r="G18" s="43" t="s">
        <v>21</v>
      </c>
      <c r="H18" s="128" t="s">
        <v>171</v>
      </c>
      <c r="I18" s="43" t="s">
        <v>774</v>
      </c>
      <c r="J18" s="43" t="str">
        <f t="shared" si="0"/>
        <v>KUPIECKA</v>
      </c>
      <c r="K18" s="43">
        <f t="shared" si="0"/>
        <v>1</v>
      </c>
      <c r="L18" s="43" t="s">
        <v>20</v>
      </c>
      <c r="M18" s="43" t="s">
        <v>21</v>
      </c>
      <c r="N18" s="45" t="s">
        <v>271</v>
      </c>
      <c r="O18" s="500" t="s">
        <v>719</v>
      </c>
      <c r="P18" s="47">
        <v>39</v>
      </c>
      <c r="Q18" s="501">
        <v>78000</v>
      </c>
      <c r="R18" s="47">
        <v>80000</v>
      </c>
      <c r="S18" s="501">
        <f t="shared" si="4"/>
        <v>158000</v>
      </c>
      <c r="T18" s="46" t="s">
        <v>88</v>
      </c>
      <c r="U18" s="5" t="s">
        <v>115</v>
      </c>
      <c r="V18" s="251" t="s">
        <v>462</v>
      </c>
      <c r="W18" s="275" t="s">
        <v>643</v>
      </c>
      <c r="X18" s="462" t="s">
        <v>764</v>
      </c>
      <c r="Y18" s="24"/>
    </row>
    <row r="19" spans="1:25" ht="15" thickBot="1">
      <c r="A19" s="76">
        <v>17</v>
      </c>
      <c r="B19" s="77" t="s">
        <v>164</v>
      </c>
      <c r="C19" s="78" t="s">
        <v>22</v>
      </c>
      <c r="D19" s="77" t="s">
        <v>41</v>
      </c>
      <c r="E19" s="77">
        <v>22</v>
      </c>
      <c r="F19" s="77" t="s">
        <v>20</v>
      </c>
      <c r="G19" s="77" t="s">
        <v>21</v>
      </c>
      <c r="H19" s="104"/>
      <c r="I19" s="77" t="s">
        <v>775</v>
      </c>
      <c r="J19" s="77" t="str">
        <f t="shared" si="0"/>
        <v>BOGUSŁAWA X</v>
      </c>
      <c r="K19" s="77">
        <f t="shared" si="0"/>
        <v>22</v>
      </c>
      <c r="L19" s="77" t="s">
        <v>20</v>
      </c>
      <c r="M19" s="77" t="s">
        <v>21</v>
      </c>
      <c r="N19" s="79" t="s">
        <v>272</v>
      </c>
      <c r="O19" s="502" t="s">
        <v>718</v>
      </c>
      <c r="P19" s="503">
        <v>50</v>
      </c>
      <c r="Q19" s="504">
        <v>69500</v>
      </c>
      <c r="R19" s="503">
        <v>71500</v>
      </c>
      <c r="S19" s="504">
        <f t="shared" si="4"/>
        <v>141000</v>
      </c>
      <c r="T19" s="80" t="s">
        <v>87</v>
      </c>
      <c r="U19" s="5" t="s">
        <v>115</v>
      </c>
      <c r="V19" s="251" t="s">
        <v>462</v>
      </c>
      <c r="W19" s="275" t="s">
        <v>643</v>
      </c>
      <c r="X19" s="462" t="s">
        <v>764</v>
      </c>
      <c r="Y19" s="24"/>
    </row>
    <row r="20" spans="1:25" ht="15" thickBot="1">
      <c r="A20" s="127">
        <v>18</v>
      </c>
      <c r="B20" s="118" t="s">
        <v>455</v>
      </c>
      <c r="C20" s="117" t="s">
        <v>22</v>
      </c>
      <c r="D20" s="118" t="s">
        <v>165</v>
      </c>
      <c r="E20" s="118">
        <v>37</v>
      </c>
      <c r="F20" s="118" t="s">
        <v>20</v>
      </c>
      <c r="G20" s="118" t="s">
        <v>21</v>
      </c>
      <c r="H20" s="119" t="s">
        <v>180</v>
      </c>
      <c r="I20" s="118" t="s">
        <v>776</v>
      </c>
      <c r="J20" s="118" t="str">
        <f t="shared" si="0"/>
        <v>PORTOWA</v>
      </c>
      <c r="K20" s="118">
        <f t="shared" si="0"/>
        <v>37</v>
      </c>
      <c r="L20" s="118" t="s">
        <v>20</v>
      </c>
      <c r="M20" s="118" t="s">
        <v>21</v>
      </c>
      <c r="N20" s="120" t="s">
        <v>273</v>
      </c>
      <c r="O20" s="505" t="s">
        <v>296</v>
      </c>
      <c r="P20" s="506">
        <v>39</v>
      </c>
      <c r="Q20" s="507">
        <v>12500</v>
      </c>
      <c r="R20" s="506">
        <v>13000</v>
      </c>
      <c r="S20" s="507">
        <f t="shared" si="4"/>
        <v>25500</v>
      </c>
      <c r="T20" s="121" t="s">
        <v>88</v>
      </c>
      <c r="U20" s="5" t="s">
        <v>115</v>
      </c>
      <c r="V20" s="251" t="s">
        <v>462</v>
      </c>
      <c r="W20" s="275" t="s">
        <v>643</v>
      </c>
      <c r="X20" s="462" t="s">
        <v>764</v>
      </c>
      <c r="Y20" s="24"/>
    </row>
    <row r="21" spans="1:25" ht="15" thickBot="1">
      <c r="A21" s="167">
        <v>19</v>
      </c>
      <c r="B21" s="168" t="s">
        <v>460</v>
      </c>
      <c r="C21" s="169" t="s">
        <v>22</v>
      </c>
      <c r="D21" s="170" t="s">
        <v>283</v>
      </c>
      <c r="E21" s="171">
        <v>7</v>
      </c>
      <c r="F21" s="172" t="s">
        <v>20</v>
      </c>
      <c r="G21" s="173" t="s">
        <v>21</v>
      </c>
      <c r="H21" s="174" t="s">
        <v>291</v>
      </c>
      <c r="I21" s="175" t="s">
        <v>777</v>
      </c>
      <c r="J21" s="175" t="s">
        <v>288</v>
      </c>
      <c r="K21" s="171">
        <v>7</v>
      </c>
      <c r="L21" s="173" t="s">
        <v>20</v>
      </c>
      <c r="M21" s="173" t="s">
        <v>21</v>
      </c>
      <c r="N21" s="171" t="s">
        <v>290</v>
      </c>
      <c r="O21" s="508" t="s">
        <v>717</v>
      </c>
      <c r="P21" s="171">
        <v>50</v>
      </c>
      <c r="Q21" s="509">
        <v>44800</v>
      </c>
      <c r="R21" s="171">
        <v>44800</v>
      </c>
      <c r="S21" s="509">
        <f t="shared" si="4"/>
        <v>89600</v>
      </c>
      <c r="T21" s="176" t="s">
        <v>87</v>
      </c>
      <c r="U21" s="5" t="s">
        <v>115</v>
      </c>
      <c r="V21" s="251" t="s">
        <v>462</v>
      </c>
      <c r="W21" s="275" t="s">
        <v>643</v>
      </c>
      <c r="X21" s="462" t="s">
        <v>764</v>
      </c>
    </row>
    <row r="22" spans="1:25" ht="15" thickBot="1">
      <c r="A22" s="255">
        <v>20</v>
      </c>
      <c r="B22" s="256" t="s">
        <v>534</v>
      </c>
      <c r="C22" s="257" t="s">
        <v>22</v>
      </c>
      <c r="D22" s="258" t="s">
        <v>49</v>
      </c>
      <c r="E22" s="259">
        <v>15</v>
      </c>
      <c r="F22" s="260" t="s">
        <v>20</v>
      </c>
      <c r="G22" s="261" t="s">
        <v>21</v>
      </c>
      <c r="H22" s="262"/>
      <c r="I22" s="263" t="s">
        <v>778</v>
      </c>
      <c r="J22" s="299" t="s">
        <v>49</v>
      </c>
      <c r="K22" s="259">
        <v>15</v>
      </c>
      <c r="L22" s="261" t="s">
        <v>20</v>
      </c>
      <c r="M22" s="261" t="s">
        <v>21</v>
      </c>
      <c r="N22" s="264" t="s">
        <v>535</v>
      </c>
      <c r="O22" s="264" t="s">
        <v>536</v>
      </c>
      <c r="P22" s="259">
        <v>39</v>
      </c>
      <c r="Q22" s="510">
        <v>37116</v>
      </c>
      <c r="R22" s="510">
        <v>37116</v>
      </c>
      <c r="S22" s="510">
        <f t="shared" si="4"/>
        <v>74232</v>
      </c>
      <c r="T22" s="265" t="s">
        <v>88</v>
      </c>
      <c r="U22" s="5" t="s">
        <v>115</v>
      </c>
      <c r="V22" s="251" t="s">
        <v>462</v>
      </c>
      <c r="W22" s="275" t="s">
        <v>643</v>
      </c>
      <c r="X22" s="462" t="s">
        <v>764</v>
      </c>
      <c r="Y22" s="275" t="s">
        <v>463</v>
      </c>
    </row>
    <row r="23" spans="1:25">
      <c r="A23" s="255">
        <v>21</v>
      </c>
      <c r="B23" s="256" t="s">
        <v>534</v>
      </c>
      <c r="C23" s="257" t="s">
        <v>22</v>
      </c>
      <c r="D23" s="258" t="s">
        <v>49</v>
      </c>
      <c r="E23" s="259">
        <v>15</v>
      </c>
      <c r="F23" s="260" t="s">
        <v>20</v>
      </c>
      <c r="G23" s="261" t="s">
        <v>21</v>
      </c>
      <c r="H23" s="262"/>
      <c r="I23" s="263" t="s">
        <v>779</v>
      </c>
      <c r="J23" s="299" t="s">
        <v>49</v>
      </c>
      <c r="K23" s="259">
        <v>15</v>
      </c>
      <c r="L23" s="261" t="s">
        <v>20</v>
      </c>
      <c r="M23" s="261" t="s">
        <v>21</v>
      </c>
      <c r="N23" s="264" t="s">
        <v>701</v>
      </c>
      <c r="O23" s="264" t="s">
        <v>724</v>
      </c>
      <c r="P23" s="259">
        <v>20</v>
      </c>
      <c r="Q23" s="510">
        <v>25712</v>
      </c>
      <c r="R23" s="510">
        <v>25712</v>
      </c>
      <c r="S23" s="510">
        <f t="shared" si="4"/>
        <v>51424</v>
      </c>
      <c r="T23" s="265" t="s">
        <v>88</v>
      </c>
      <c r="U23" s="5" t="s">
        <v>115</v>
      </c>
      <c r="V23" s="251" t="s">
        <v>462</v>
      </c>
      <c r="W23" s="275" t="s">
        <v>643</v>
      </c>
      <c r="X23" s="462" t="s">
        <v>764</v>
      </c>
      <c r="Y23" s="275" t="s">
        <v>463</v>
      </c>
    </row>
    <row r="24" spans="1:25" ht="15" thickBot="1">
      <c r="A24" s="12">
        <v>22</v>
      </c>
      <c r="B24" s="136" t="s">
        <v>593</v>
      </c>
      <c r="C24" s="116" t="s">
        <v>22</v>
      </c>
      <c r="D24" s="289" t="s">
        <v>148</v>
      </c>
      <c r="E24" s="110" t="s">
        <v>594</v>
      </c>
      <c r="F24" s="12" t="s">
        <v>20</v>
      </c>
      <c r="G24" s="2" t="s">
        <v>21</v>
      </c>
      <c r="H24" s="298" t="s">
        <v>595</v>
      </c>
      <c r="I24" s="290" t="s">
        <v>780</v>
      </c>
      <c r="J24" s="136" t="s">
        <v>148</v>
      </c>
      <c r="K24" s="110" t="s">
        <v>594</v>
      </c>
      <c r="L24" s="2" t="s">
        <v>20</v>
      </c>
      <c r="M24" s="2" t="s">
        <v>21</v>
      </c>
      <c r="N24" s="291" t="s">
        <v>596</v>
      </c>
      <c r="O24" s="291" t="s">
        <v>597</v>
      </c>
      <c r="P24" s="110">
        <v>65</v>
      </c>
      <c r="Q24" s="511">
        <v>91000</v>
      </c>
      <c r="R24" s="511">
        <v>91000</v>
      </c>
      <c r="S24" s="511">
        <f t="shared" si="4"/>
        <v>182000</v>
      </c>
      <c r="T24" s="12" t="s">
        <v>87</v>
      </c>
      <c r="U24" s="5" t="s">
        <v>115</v>
      </c>
      <c r="V24" s="251" t="s">
        <v>462</v>
      </c>
      <c r="W24" s="275" t="s">
        <v>643</v>
      </c>
      <c r="X24" s="462" t="s">
        <v>764</v>
      </c>
    </row>
    <row r="25" spans="1:25" ht="15.75" thickBot="1">
      <c r="A25" s="541">
        <v>23</v>
      </c>
      <c r="B25" s="541" t="s">
        <v>788</v>
      </c>
      <c r="C25" s="539" t="s">
        <v>22</v>
      </c>
      <c r="D25" s="541" t="s">
        <v>784</v>
      </c>
      <c r="E25" s="537"/>
      <c r="F25" s="542" t="s">
        <v>20</v>
      </c>
      <c r="G25" s="543" t="s">
        <v>21</v>
      </c>
      <c r="H25" s="537"/>
      <c r="I25" s="538" t="s">
        <v>788</v>
      </c>
      <c r="J25" s="536" t="s">
        <v>784</v>
      </c>
      <c r="K25" s="537"/>
      <c r="L25" s="535" t="s">
        <v>20</v>
      </c>
      <c r="M25" s="535" t="s">
        <v>21</v>
      </c>
      <c r="N25" s="540" t="s">
        <v>785</v>
      </c>
      <c r="O25" s="537"/>
      <c r="P25" s="540">
        <v>49</v>
      </c>
      <c r="Q25" s="546">
        <v>20000</v>
      </c>
      <c r="R25" s="546">
        <v>40000</v>
      </c>
      <c r="S25" s="546">
        <f>Q25+R25</f>
        <v>60000</v>
      </c>
      <c r="T25" s="545" t="s">
        <v>87</v>
      </c>
      <c r="U25" s="150" t="s">
        <v>429</v>
      </c>
      <c r="V25" s="251" t="s">
        <v>787</v>
      </c>
      <c r="W25" s="275" t="s">
        <v>786</v>
      </c>
      <c r="X25" s="275" t="s">
        <v>786</v>
      </c>
    </row>
    <row r="26" spans="1:25" s="269" customFormat="1">
      <c r="I26" s="534"/>
      <c r="J26" s="533"/>
      <c r="L26" s="13"/>
      <c r="M26" s="13"/>
    </row>
    <row r="27" spans="1:25" ht="15">
      <c r="P27" s="84">
        <f>SUM(P3:P25)</f>
        <v>809</v>
      </c>
      <c r="Q27" s="280">
        <f t="shared" ref="Q27:R27" si="5">SUM(Q3:Q25)</f>
        <v>745772</v>
      </c>
      <c r="R27" s="280">
        <f t="shared" si="5"/>
        <v>771875</v>
      </c>
      <c r="S27" s="203">
        <f>SUM(S3:S25)</f>
        <v>1517647</v>
      </c>
      <c r="T27" s="84" t="s">
        <v>382</v>
      </c>
    </row>
    <row r="28" spans="1:25" ht="15">
      <c r="P28" s="84"/>
      <c r="Q28" s="280">
        <v>27000</v>
      </c>
      <c r="R28" s="280">
        <v>27000</v>
      </c>
      <c r="S28" s="203">
        <f>Q28+R28</f>
        <v>54000</v>
      </c>
      <c r="T28" s="204" t="s">
        <v>159</v>
      </c>
      <c r="U28" s="204"/>
    </row>
    <row r="29" spans="1:25">
      <c r="P29" s="84"/>
      <c r="Q29" s="280">
        <v>7000</v>
      </c>
      <c r="R29" s="280">
        <v>7000</v>
      </c>
      <c r="S29" s="84">
        <f>Q29+R29</f>
        <v>14000</v>
      </c>
      <c r="T29" s="84" t="s">
        <v>408</v>
      </c>
    </row>
    <row r="30" spans="1:25">
      <c r="P30" s="84"/>
      <c r="Q30" s="280">
        <v>20000</v>
      </c>
      <c r="R30" s="280">
        <v>20000</v>
      </c>
      <c r="S30" s="280">
        <f>Q30+R30</f>
        <v>40000</v>
      </c>
      <c r="T30" s="84" t="s">
        <v>440</v>
      </c>
    </row>
    <row r="31" spans="1:25" ht="15">
      <c r="P31" s="84"/>
      <c r="Q31" s="354">
        <f>Q21+Q19+Q17+Q11+Q24+Q25</f>
        <v>349300</v>
      </c>
      <c r="R31" s="354">
        <f>R21+R19+R17+R11+R24+R25</f>
        <v>371300</v>
      </c>
      <c r="S31" s="203">
        <f>S21+S19+S17+S11+S24+S25</f>
        <v>720600</v>
      </c>
      <c r="T31" s="204" t="s">
        <v>87</v>
      </c>
      <c r="U31" s="204"/>
      <c r="V31" s="14"/>
    </row>
    <row r="32" spans="1:25" ht="15">
      <c r="P32" s="84"/>
      <c r="Q32" s="354">
        <f t="shared" ref="Q32:R32" si="6">Q3+Q4+Q5+Q6+Q7+Q8+Q10+Q12+Q13+Q14+Q15+Q16+Q18+Q20+Q22+Q23</f>
        <v>369472</v>
      </c>
      <c r="R32" s="354">
        <f t="shared" si="6"/>
        <v>373575</v>
      </c>
      <c r="S32" s="203">
        <f>S3+S4+S5+S6+S7+S8+S10+S12+S13+S14+S15+S16+S18+S20+S22+S23</f>
        <v>743047</v>
      </c>
      <c r="T32" s="204" t="s">
        <v>88</v>
      </c>
      <c r="U32" s="272"/>
    </row>
    <row r="33" spans="15:22" ht="15">
      <c r="O33" s="14"/>
      <c r="P33" s="84"/>
      <c r="Q33" s="354">
        <f>Q9</f>
        <v>27000</v>
      </c>
      <c r="R33" s="354">
        <f>R9</f>
        <v>27000</v>
      </c>
      <c r="S33" s="203">
        <f>S9</f>
        <v>54000</v>
      </c>
      <c r="T33" s="204" t="s">
        <v>159</v>
      </c>
    </row>
    <row r="34" spans="15:22">
      <c r="P34" s="84"/>
      <c r="Q34" s="280">
        <f>7500/2</f>
        <v>3750</v>
      </c>
      <c r="R34" s="280">
        <f>7500/2</f>
        <v>3750</v>
      </c>
      <c r="S34" s="84">
        <v>7500</v>
      </c>
      <c r="T34" s="84" t="s">
        <v>408</v>
      </c>
      <c r="V34" s="272"/>
    </row>
    <row r="35" spans="15:22">
      <c r="P35" s="84"/>
      <c r="Q35" s="280">
        <f>46500/2</f>
        <v>23250</v>
      </c>
      <c r="R35" s="280">
        <f>46500/2</f>
        <v>23250</v>
      </c>
      <c r="S35" s="205">
        <f>S33-S34</f>
        <v>46500</v>
      </c>
      <c r="T35" s="84" t="s">
        <v>440</v>
      </c>
      <c r="V35" s="272"/>
    </row>
    <row r="36" spans="15:22">
      <c r="P36" s="84"/>
      <c r="Q36" s="280"/>
      <c r="R36" s="280"/>
      <c r="S36" s="205"/>
      <c r="T36" s="84"/>
    </row>
    <row r="37" spans="15:22">
      <c r="P37" s="84"/>
      <c r="Q37" s="280"/>
      <c r="R37" s="280"/>
      <c r="S37" s="196"/>
      <c r="T37" s="84"/>
    </row>
    <row r="38" spans="15:22">
      <c r="P38" s="84"/>
      <c r="Q38" s="280"/>
      <c r="R38" s="280"/>
      <c r="S38" s="84">
        <f>5+1</f>
        <v>6</v>
      </c>
      <c r="T38" s="84" t="s">
        <v>87</v>
      </c>
    </row>
    <row r="39" spans="15:22">
      <c r="P39" s="84"/>
      <c r="Q39" s="280"/>
      <c r="R39" s="280"/>
      <c r="S39" s="84">
        <v>16</v>
      </c>
      <c r="T39" s="84" t="s">
        <v>88</v>
      </c>
    </row>
    <row r="40" spans="15:22">
      <c r="P40" s="84"/>
      <c r="Q40" s="280"/>
      <c r="R40" s="280"/>
      <c r="S40" s="84">
        <v>1</v>
      </c>
      <c r="T40" s="84" t="s">
        <v>159</v>
      </c>
    </row>
    <row r="41" spans="15:22">
      <c r="S41">
        <f>SUM(S37:S40)</f>
        <v>23</v>
      </c>
    </row>
    <row r="42" spans="15:22">
      <c r="S42" s="14"/>
    </row>
    <row r="43" spans="15:22" ht="15">
      <c r="Q43" s="272">
        <f>Q12+Q13+Q14+Q15+Q16+Q18+Q20+Q22+Q23</f>
        <v>223328</v>
      </c>
      <c r="R43" s="272">
        <f>R12+R13+R14+R15+R16+R18+R20+R22+R23</f>
        <v>225828</v>
      </c>
      <c r="S43" s="165">
        <f>Q43+R43</f>
        <v>449156</v>
      </c>
      <c r="T43" s="442" t="s">
        <v>88</v>
      </c>
      <c r="U43" t="s">
        <v>754</v>
      </c>
    </row>
    <row r="44" spans="15:22" ht="15">
      <c r="Q44" s="272">
        <f>Q3+Q4+Q5+Q6+Q7+Q8+Q10</f>
        <v>146144</v>
      </c>
      <c r="R44" s="272">
        <f>R3+R4+R5+R6+R7+R8+R10</f>
        <v>147747</v>
      </c>
      <c r="S44" s="165">
        <f>Q44+R44</f>
        <v>293891</v>
      </c>
      <c r="T44" s="442" t="s">
        <v>88</v>
      </c>
      <c r="U44" t="s">
        <v>755</v>
      </c>
    </row>
    <row r="45" spans="15:22" ht="15">
      <c r="Q45" s="165">
        <f>SUM(Q43:Q44)</f>
        <v>369472</v>
      </c>
      <c r="R45" s="165">
        <f>SUM(R43:R44)</f>
        <v>373575</v>
      </c>
      <c r="S45" s="165">
        <f>SUM(S43:S44)</f>
        <v>743047</v>
      </c>
      <c r="T45" s="442" t="s">
        <v>88</v>
      </c>
      <c r="U45" t="s">
        <v>683</v>
      </c>
    </row>
    <row r="46" spans="15:22" ht="15">
      <c r="Q46" s="272">
        <f>Q11+Q17+Q19+Q21+Q24</f>
        <v>329300</v>
      </c>
      <c r="R46" s="272">
        <f t="shared" ref="R46:S46" si="7">R11+R17+R19+R21+R24</f>
        <v>331300</v>
      </c>
      <c r="S46" s="272">
        <f t="shared" si="7"/>
        <v>660600</v>
      </c>
      <c r="T46" s="442" t="s">
        <v>87</v>
      </c>
      <c r="U46" s="269" t="s">
        <v>754</v>
      </c>
    </row>
    <row r="47" spans="15:22" ht="15">
      <c r="Q47" s="272">
        <f>Q25</f>
        <v>20000</v>
      </c>
      <c r="R47" s="272">
        <f t="shared" ref="R47:S47" si="8">R25</f>
        <v>40000</v>
      </c>
      <c r="S47" s="272">
        <f t="shared" si="8"/>
        <v>60000</v>
      </c>
      <c r="T47" s="442" t="s">
        <v>87</v>
      </c>
      <c r="U47" s="269" t="s">
        <v>755</v>
      </c>
      <c r="V47" s="14"/>
    </row>
    <row r="48" spans="15:22" ht="15">
      <c r="Q48" s="165">
        <f>Q46+Q47</f>
        <v>349300</v>
      </c>
      <c r="R48" s="165">
        <f>R46+R47</f>
        <v>371300</v>
      </c>
      <c r="S48" s="165">
        <f>S46+S47</f>
        <v>720600</v>
      </c>
      <c r="T48" s="442" t="s">
        <v>87</v>
      </c>
      <c r="U48" s="269" t="s">
        <v>683</v>
      </c>
    </row>
    <row r="49" spans="17:21" ht="15">
      <c r="S49" s="14"/>
      <c r="T49" s="442" t="s">
        <v>159</v>
      </c>
      <c r="U49" s="269" t="s">
        <v>754</v>
      </c>
    </row>
    <row r="50" spans="17:21" ht="15">
      <c r="Q50" s="272">
        <f>Q9</f>
        <v>27000</v>
      </c>
      <c r="R50" s="272">
        <f t="shared" ref="R50:S50" si="9">R9</f>
        <v>27000</v>
      </c>
      <c r="S50" s="272">
        <f t="shared" si="9"/>
        <v>54000</v>
      </c>
      <c r="T50" s="442" t="s">
        <v>159</v>
      </c>
      <c r="U50" s="269" t="s">
        <v>755</v>
      </c>
    </row>
    <row r="51" spans="17:21" s="269" customFormat="1" ht="15">
      <c r="Q51" s="272">
        <f>Q34</f>
        <v>3750</v>
      </c>
      <c r="R51" s="272">
        <f>R34</f>
        <v>3750</v>
      </c>
      <c r="S51" s="272"/>
      <c r="T51" s="442"/>
    </row>
    <row r="52" spans="17:21" s="269" customFormat="1" ht="15">
      <c r="Q52" s="272">
        <f>Q35</f>
        <v>23250</v>
      </c>
      <c r="R52" s="272">
        <f>R35</f>
        <v>23250</v>
      </c>
      <c r="S52" s="272"/>
      <c r="T52" s="442"/>
    </row>
    <row r="53" spans="17:21" ht="15">
      <c r="Q53" s="165">
        <f>Q49+Q50</f>
        <v>27000</v>
      </c>
      <c r="R53" s="165">
        <f t="shared" ref="R53:S53" si="10">R49+R50</f>
        <v>27000</v>
      </c>
      <c r="S53" s="165">
        <f t="shared" si="10"/>
        <v>54000</v>
      </c>
      <c r="T53" s="442" t="s">
        <v>159</v>
      </c>
      <c r="U53" s="269" t="s">
        <v>683</v>
      </c>
    </row>
    <row r="54" spans="17:21">
      <c r="S54" s="14"/>
      <c r="T54" s="84"/>
    </row>
    <row r="55" spans="17:21">
      <c r="S55" s="14"/>
      <c r="T55" s="84"/>
    </row>
    <row r="56" spans="17:21">
      <c r="S56" s="14"/>
      <c r="T56" s="84"/>
    </row>
    <row r="57" spans="17:21">
      <c r="S57" s="14"/>
      <c r="T57" s="84"/>
    </row>
    <row r="58" spans="17:21">
      <c r="S58" s="14"/>
      <c r="T58" s="84"/>
    </row>
    <row r="59" spans="17:21">
      <c r="S59" s="14"/>
      <c r="T59" s="84"/>
    </row>
    <row r="60" spans="17:21">
      <c r="S60" s="14"/>
      <c r="T60" s="84"/>
    </row>
    <row r="61" spans="17:21">
      <c r="S61" s="14"/>
      <c r="T61" s="280"/>
    </row>
    <row r="62" spans="17:21" s="269" customFormat="1">
      <c r="S62" s="272"/>
      <c r="T62" s="280"/>
    </row>
    <row r="63" spans="17:21">
      <c r="S63" s="272"/>
    </row>
    <row r="64" spans="17:21">
      <c r="S64" s="14"/>
    </row>
    <row r="65" spans="19:19">
      <c r="S65" s="14"/>
    </row>
    <row r="68" spans="19:19">
      <c r="S68" s="14">
        <f>S63+S64+S65</f>
        <v>0</v>
      </c>
    </row>
    <row r="69" spans="19:19">
      <c r="S69" s="14"/>
    </row>
    <row r="81" spans="16:21">
      <c r="P81" t="s">
        <v>598</v>
      </c>
      <c r="S81">
        <v>6267</v>
      </c>
    </row>
    <row r="82" spans="16:21">
      <c r="P82" s="269" t="s">
        <v>599</v>
      </c>
      <c r="S82">
        <v>5227</v>
      </c>
    </row>
    <row r="83" spans="16:21">
      <c r="P83" s="269" t="s">
        <v>600</v>
      </c>
      <c r="S83">
        <v>7521</v>
      </c>
    </row>
    <row r="84" spans="16:21">
      <c r="P84" s="269" t="s">
        <v>601</v>
      </c>
    </row>
    <row r="85" spans="16:21">
      <c r="P85" s="269" t="s">
        <v>602</v>
      </c>
      <c r="S85">
        <v>6677</v>
      </c>
    </row>
    <row r="86" spans="16:21">
      <c r="P86" s="269" t="s">
        <v>603</v>
      </c>
    </row>
    <row r="87" spans="16:21">
      <c r="P87" s="269" t="s">
        <v>604</v>
      </c>
      <c r="S87" s="269">
        <v>9360</v>
      </c>
    </row>
    <row r="88" spans="16:21">
      <c r="S88">
        <f>SUM(S81:S87)</f>
        <v>35052</v>
      </c>
      <c r="T88">
        <f>S88/5</f>
        <v>7010.4</v>
      </c>
      <c r="U88">
        <f>T88*12</f>
        <v>84124.799999999988</v>
      </c>
    </row>
  </sheetData>
  <mergeCells count="5">
    <mergeCell ref="N1:T1"/>
    <mergeCell ref="A1:A2"/>
    <mergeCell ref="B1:D1"/>
    <mergeCell ref="E1:I1"/>
    <mergeCell ref="J1:M1"/>
  </mergeCells>
  <phoneticPr fontId="5" type="noConversion"/>
  <hyperlinks>
    <hyperlink ref="H7" r:id="rId1"/>
    <hyperlink ref="H5" r:id="rId2"/>
    <hyperlink ref="H10" r:id="rId3"/>
    <hyperlink ref="H3" r:id="rId4"/>
  </hyperlinks>
  <pageMargins left="0.75" right="0.75" top="1" bottom="1" header="0.5" footer="0.5"/>
  <pageSetup paperSize="8" scale="49" orientation="landscape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opLeftCell="I1" workbookViewId="0">
      <selection activeCell="K35" sqref="K35"/>
    </sheetView>
  </sheetViews>
  <sheetFormatPr defaultRowHeight="14.25"/>
  <cols>
    <col min="1" max="1" width="3" bestFit="1" customWidth="1"/>
    <col min="2" max="2" width="30.125" customWidth="1"/>
    <col min="3" max="3" width="11.5" customWidth="1"/>
    <col min="4" max="4" width="16.125" customWidth="1"/>
    <col min="5" max="5" width="5.625" customWidth="1"/>
    <col min="6" max="6" width="7.375" customWidth="1"/>
    <col min="8" max="8" width="21.875" customWidth="1"/>
    <col min="9" max="9" width="35.375" customWidth="1"/>
    <col min="10" max="10" width="18.75" customWidth="1"/>
    <col min="11" max="11" width="24" customWidth="1"/>
    <col min="12" max="12" width="6.875" customWidth="1"/>
    <col min="13" max="13" width="10.5" customWidth="1"/>
    <col min="14" max="14" width="19.125" customWidth="1"/>
    <col min="15" max="15" width="12.25" customWidth="1"/>
    <col min="17" max="18" width="9" style="269"/>
    <col min="19" max="19" width="9.5" bestFit="1" customWidth="1"/>
    <col min="21" max="21" width="11" customWidth="1"/>
    <col min="22" max="22" width="20.375" customWidth="1"/>
    <col min="23" max="23" width="13.5" customWidth="1"/>
    <col min="24" max="24" width="14.75" customWidth="1"/>
  </cols>
  <sheetData>
    <row r="1" spans="1:24" s="1" customFormat="1">
      <c r="A1" s="551" t="s">
        <v>16</v>
      </c>
      <c r="B1" s="553" t="s">
        <v>15</v>
      </c>
      <c r="C1" s="554"/>
      <c r="D1" s="555"/>
      <c r="E1" s="553" t="s">
        <v>14</v>
      </c>
      <c r="F1" s="554"/>
      <c r="G1" s="554"/>
      <c r="H1" s="554"/>
      <c r="I1" s="555"/>
      <c r="J1" s="553" t="s">
        <v>13</v>
      </c>
      <c r="K1" s="554"/>
      <c r="L1" s="554"/>
      <c r="M1" s="555"/>
      <c r="N1" s="553" t="s">
        <v>12</v>
      </c>
      <c r="O1" s="554"/>
      <c r="P1" s="554"/>
      <c r="Q1" s="554"/>
      <c r="R1" s="554"/>
      <c r="S1" s="554"/>
      <c r="T1" s="555"/>
    </row>
    <row r="2" spans="1:24" s="1" customFormat="1" ht="59.25" customHeight="1">
      <c r="A2" s="552"/>
      <c r="B2" s="3" t="s">
        <v>11</v>
      </c>
      <c r="C2" s="4" t="s">
        <v>10</v>
      </c>
      <c r="D2" s="3" t="s">
        <v>6</v>
      </c>
      <c r="E2" s="3" t="s">
        <v>5</v>
      </c>
      <c r="F2" s="3" t="s">
        <v>4</v>
      </c>
      <c r="G2" s="3" t="s">
        <v>9</v>
      </c>
      <c r="H2" s="3" t="s">
        <v>8</v>
      </c>
      <c r="I2" s="3" t="s">
        <v>7</v>
      </c>
      <c r="J2" s="4" t="s">
        <v>6</v>
      </c>
      <c r="K2" s="4" t="s">
        <v>5</v>
      </c>
      <c r="L2" s="4" t="s">
        <v>4</v>
      </c>
      <c r="M2" s="4" t="s">
        <v>3</v>
      </c>
      <c r="N2" s="3" t="s">
        <v>17</v>
      </c>
      <c r="O2" s="3" t="s">
        <v>2</v>
      </c>
      <c r="P2" s="3" t="s">
        <v>1</v>
      </c>
      <c r="Q2" s="348" t="s">
        <v>461</v>
      </c>
      <c r="R2" s="348" t="s">
        <v>684</v>
      </c>
      <c r="S2" s="3" t="s">
        <v>683</v>
      </c>
      <c r="T2" s="3" t="s">
        <v>0</v>
      </c>
      <c r="U2" s="21" t="s">
        <v>114</v>
      </c>
      <c r="V2" s="21" t="s">
        <v>117</v>
      </c>
      <c r="W2" s="22" t="s">
        <v>420</v>
      </c>
      <c r="X2" s="277" t="s">
        <v>537</v>
      </c>
    </row>
    <row r="3" spans="1:24" ht="14.25" customHeight="1">
      <c r="A3" s="140">
        <v>1</v>
      </c>
      <c r="B3" s="140" t="s">
        <v>399</v>
      </c>
      <c r="C3" s="141" t="s">
        <v>400</v>
      </c>
      <c r="D3" s="142" t="s">
        <v>383</v>
      </c>
      <c r="E3" s="140">
        <v>38</v>
      </c>
      <c r="F3" s="140" t="s">
        <v>20</v>
      </c>
      <c r="G3" s="140" t="s">
        <v>21</v>
      </c>
      <c r="H3" s="143"/>
      <c r="I3" s="317" t="s">
        <v>627</v>
      </c>
      <c r="J3" s="142" t="s">
        <v>383</v>
      </c>
      <c r="K3" s="145">
        <v>38</v>
      </c>
      <c r="L3" s="146" t="s">
        <v>20</v>
      </c>
      <c r="M3" s="146" t="s">
        <v>21</v>
      </c>
      <c r="N3" s="147" t="s">
        <v>384</v>
      </c>
      <c r="O3" s="358" t="s">
        <v>401</v>
      </c>
      <c r="P3" s="146" t="s">
        <v>385</v>
      </c>
      <c r="Q3" s="192">
        <v>461429</v>
      </c>
      <c r="R3" s="192">
        <v>461429</v>
      </c>
      <c r="S3" s="192">
        <f>R3+Q3</f>
        <v>922858</v>
      </c>
      <c r="T3" s="148" t="s">
        <v>386</v>
      </c>
      <c r="U3" s="149" t="s">
        <v>419</v>
      </c>
      <c r="V3" s="251" t="s">
        <v>462</v>
      </c>
      <c r="W3" s="150" t="s">
        <v>629</v>
      </c>
      <c r="X3" s="462" t="s">
        <v>764</v>
      </c>
    </row>
    <row r="4" spans="1:24" ht="14.25" customHeight="1">
      <c r="A4" s="140">
        <v>2</v>
      </c>
      <c r="B4" s="140" t="s">
        <v>399</v>
      </c>
      <c r="C4" s="141" t="s">
        <v>400</v>
      </c>
      <c r="D4" s="142" t="s">
        <v>383</v>
      </c>
      <c r="E4" s="140">
        <v>38</v>
      </c>
      <c r="F4" s="151" t="s">
        <v>20</v>
      </c>
      <c r="G4" s="151" t="s">
        <v>21</v>
      </c>
      <c r="H4" s="143"/>
      <c r="I4" s="140" t="s">
        <v>627</v>
      </c>
      <c r="J4" s="315" t="s">
        <v>383</v>
      </c>
      <c r="K4" s="145">
        <v>38</v>
      </c>
      <c r="L4" s="152" t="s">
        <v>20</v>
      </c>
      <c r="M4" s="152" t="s">
        <v>21</v>
      </c>
      <c r="N4" s="147" t="s">
        <v>387</v>
      </c>
      <c r="O4" s="358" t="s">
        <v>402</v>
      </c>
      <c r="P4" s="146" t="s">
        <v>385</v>
      </c>
      <c r="Q4" s="192">
        <v>860203</v>
      </c>
      <c r="R4" s="192">
        <v>860203</v>
      </c>
      <c r="S4" s="192">
        <f t="shared" ref="S4:S12" si="0">R4+Q4</f>
        <v>1720406</v>
      </c>
      <c r="T4" s="148" t="s">
        <v>386</v>
      </c>
      <c r="U4" s="149" t="s">
        <v>419</v>
      </c>
      <c r="V4" s="251" t="s">
        <v>462</v>
      </c>
      <c r="W4" s="150" t="s">
        <v>629</v>
      </c>
      <c r="X4" s="462" t="s">
        <v>764</v>
      </c>
    </row>
    <row r="5" spans="1:24" ht="14.25" customHeight="1">
      <c r="A5" s="140">
        <v>3</v>
      </c>
      <c r="B5" s="140" t="s">
        <v>399</v>
      </c>
      <c r="C5" s="141" t="s">
        <v>400</v>
      </c>
      <c r="D5" s="142" t="s">
        <v>383</v>
      </c>
      <c r="E5" s="140">
        <v>38</v>
      </c>
      <c r="F5" s="140" t="s">
        <v>20</v>
      </c>
      <c r="G5" s="140" t="s">
        <v>21</v>
      </c>
      <c r="H5" s="143"/>
      <c r="I5" s="140" t="s">
        <v>627</v>
      </c>
      <c r="J5" s="315" t="s">
        <v>388</v>
      </c>
      <c r="K5" s="154" t="s">
        <v>403</v>
      </c>
      <c r="L5" s="146" t="s">
        <v>20</v>
      </c>
      <c r="M5" s="146" t="s">
        <v>21</v>
      </c>
      <c r="N5" s="155" t="s">
        <v>389</v>
      </c>
      <c r="O5" s="359" t="s">
        <v>404</v>
      </c>
      <c r="P5" s="152" t="s">
        <v>390</v>
      </c>
      <c r="Q5" s="193">
        <v>184422</v>
      </c>
      <c r="R5" s="193">
        <v>184422</v>
      </c>
      <c r="S5" s="192">
        <f t="shared" si="0"/>
        <v>368844</v>
      </c>
      <c r="T5" s="148" t="s">
        <v>386</v>
      </c>
      <c r="U5" s="149" t="s">
        <v>419</v>
      </c>
      <c r="V5" s="251" t="s">
        <v>462</v>
      </c>
      <c r="W5" s="150" t="s">
        <v>629</v>
      </c>
      <c r="X5" s="462" t="s">
        <v>764</v>
      </c>
    </row>
    <row r="6" spans="1:24" ht="15">
      <c r="A6" s="140">
        <v>4</v>
      </c>
      <c r="B6" s="140" t="s">
        <v>399</v>
      </c>
      <c r="C6" s="141" t="s">
        <v>400</v>
      </c>
      <c r="D6" s="142" t="s">
        <v>383</v>
      </c>
      <c r="E6" s="140">
        <v>38</v>
      </c>
      <c r="F6" s="151" t="s">
        <v>20</v>
      </c>
      <c r="G6" s="151" t="s">
        <v>21</v>
      </c>
      <c r="H6" s="143"/>
      <c r="I6" s="318" t="s">
        <v>628</v>
      </c>
      <c r="J6" s="315" t="s">
        <v>391</v>
      </c>
      <c r="K6" s="156">
        <v>1</v>
      </c>
      <c r="L6" s="152" t="s">
        <v>20</v>
      </c>
      <c r="M6" s="152" t="s">
        <v>21</v>
      </c>
      <c r="N6" s="157" t="s">
        <v>392</v>
      </c>
      <c r="O6" s="360">
        <v>10371230</v>
      </c>
      <c r="P6" s="158">
        <v>18</v>
      </c>
      <c r="Q6" s="194">
        <v>14295</v>
      </c>
      <c r="R6" s="194">
        <v>14295</v>
      </c>
      <c r="S6" s="192">
        <f t="shared" si="0"/>
        <v>28590</v>
      </c>
      <c r="T6" s="148" t="s">
        <v>88</v>
      </c>
      <c r="U6" s="149" t="s">
        <v>419</v>
      </c>
      <c r="V6" s="251" t="s">
        <v>462</v>
      </c>
      <c r="W6" s="150" t="s">
        <v>629</v>
      </c>
      <c r="X6" s="462" t="s">
        <v>764</v>
      </c>
    </row>
    <row r="7" spans="1:24" ht="15">
      <c r="A7" s="140">
        <v>5</v>
      </c>
      <c r="B7" s="140" t="s">
        <v>399</v>
      </c>
      <c r="C7" s="141" t="s">
        <v>400</v>
      </c>
      <c r="D7" s="142" t="s">
        <v>383</v>
      </c>
      <c r="E7" s="140">
        <v>38</v>
      </c>
      <c r="F7" s="140" t="s">
        <v>20</v>
      </c>
      <c r="G7" s="140" t="s">
        <v>21</v>
      </c>
      <c r="H7" s="143"/>
      <c r="I7" s="318" t="s">
        <v>628</v>
      </c>
      <c r="J7" s="315" t="s">
        <v>391</v>
      </c>
      <c r="K7" s="156">
        <v>1</v>
      </c>
      <c r="L7" s="146" t="s">
        <v>20</v>
      </c>
      <c r="M7" s="146" t="s">
        <v>21</v>
      </c>
      <c r="N7" s="157" t="s">
        <v>393</v>
      </c>
      <c r="O7" s="361">
        <v>70435073</v>
      </c>
      <c r="P7" s="158">
        <v>12</v>
      </c>
      <c r="Q7" s="194">
        <v>4522</v>
      </c>
      <c r="R7" s="194">
        <v>4522</v>
      </c>
      <c r="S7" s="192">
        <f t="shared" si="0"/>
        <v>9044</v>
      </c>
      <c r="T7" s="148" t="s">
        <v>133</v>
      </c>
      <c r="U7" s="149" t="s">
        <v>419</v>
      </c>
      <c r="V7" s="251" t="s">
        <v>462</v>
      </c>
      <c r="W7" s="150" t="s">
        <v>629</v>
      </c>
      <c r="X7" s="462" t="s">
        <v>764</v>
      </c>
    </row>
    <row r="8" spans="1:24" ht="15">
      <c r="A8" s="140">
        <v>6</v>
      </c>
      <c r="B8" s="140" t="s">
        <v>399</v>
      </c>
      <c r="C8" s="141" t="s">
        <v>400</v>
      </c>
      <c r="D8" s="142" t="s">
        <v>383</v>
      </c>
      <c r="E8" s="140">
        <v>38</v>
      </c>
      <c r="F8" s="140" t="s">
        <v>20</v>
      </c>
      <c r="G8" s="140" t="s">
        <v>21</v>
      </c>
      <c r="H8" s="143"/>
      <c r="I8" s="316"/>
      <c r="J8" s="142" t="s">
        <v>394</v>
      </c>
      <c r="K8" s="156"/>
      <c r="L8" s="146" t="s">
        <v>20</v>
      </c>
      <c r="M8" s="146" t="s">
        <v>21</v>
      </c>
      <c r="N8" s="157" t="s">
        <v>395</v>
      </c>
      <c r="O8" s="361">
        <v>13827987</v>
      </c>
      <c r="P8" s="158">
        <v>40</v>
      </c>
      <c r="Q8" s="194">
        <v>15570</v>
      </c>
      <c r="R8" s="194">
        <v>15570</v>
      </c>
      <c r="S8" s="192">
        <f t="shared" si="0"/>
        <v>31140</v>
      </c>
      <c r="T8" s="148" t="s">
        <v>88</v>
      </c>
      <c r="U8" s="149" t="s">
        <v>419</v>
      </c>
      <c r="V8" s="251" t="s">
        <v>462</v>
      </c>
      <c r="W8" s="150" t="s">
        <v>629</v>
      </c>
      <c r="X8" s="462" t="s">
        <v>764</v>
      </c>
    </row>
    <row r="9" spans="1:24" ht="15">
      <c r="A9" s="140">
        <v>7</v>
      </c>
      <c r="B9" s="140" t="s">
        <v>399</v>
      </c>
      <c r="C9" s="141" t="s">
        <v>400</v>
      </c>
      <c r="D9" s="142" t="s">
        <v>383</v>
      </c>
      <c r="E9" s="140">
        <v>38</v>
      </c>
      <c r="F9" s="151" t="s">
        <v>20</v>
      </c>
      <c r="G9" s="151" t="s">
        <v>21</v>
      </c>
      <c r="H9" s="143"/>
      <c r="I9" s="156" t="s">
        <v>405</v>
      </c>
      <c r="J9" s="142" t="s">
        <v>396</v>
      </c>
      <c r="K9" s="156" t="s">
        <v>405</v>
      </c>
      <c r="L9" s="152" t="s">
        <v>20</v>
      </c>
      <c r="M9" s="152" t="s">
        <v>21</v>
      </c>
      <c r="N9" s="157" t="s">
        <v>397</v>
      </c>
      <c r="O9" s="361" t="s">
        <v>406</v>
      </c>
      <c r="P9" s="158">
        <v>40</v>
      </c>
      <c r="Q9" s="194">
        <v>7200</v>
      </c>
      <c r="R9" s="194">
        <v>7200</v>
      </c>
      <c r="S9" s="192">
        <f t="shared" si="0"/>
        <v>14400</v>
      </c>
      <c r="T9" s="148" t="s">
        <v>88</v>
      </c>
      <c r="U9" s="149" t="s">
        <v>419</v>
      </c>
      <c r="V9" s="251" t="s">
        <v>462</v>
      </c>
      <c r="W9" s="150" t="s">
        <v>629</v>
      </c>
      <c r="X9" s="462" t="s">
        <v>764</v>
      </c>
    </row>
    <row r="10" spans="1:24" ht="15">
      <c r="A10" s="140">
        <v>8</v>
      </c>
      <c r="B10" s="140" t="s">
        <v>399</v>
      </c>
      <c r="C10" s="141" t="s">
        <v>400</v>
      </c>
      <c r="D10" s="142" t="s">
        <v>383</v>
      </c>
      <c r="E10" s="140">
        <v>38</v>
      </c>
      <c r="F10" s="140" t="s">
        <v>20</v>
      </c>
      <c r="G10" s="140" t="s">
        <v>21</v>
      </c>
      <c r="H10" s="143"/>
      <c r="I10" s="156" t="s">
        <v>407</v>
      </c>
      <c r="J10" s="142" t="s">
        <v>396</v>
      </c>
      <c r="K10" s="156" t="s">
        <v>407</v>
      </c>
      <c r="L10" s="146" t="s">
        <v>20</v>
      </c>
      <c r="M10" s="146" t="s">
        <v>21</v>
      </c>
      <c r="N10" s="157" t="s">
        <v>398</v>
      </c>
      <c r="O10" s="361">
        <v>9900484</v>
      </c>
      <c r="P10" s="158">
        <v>20</v>
      </c>
      <c r="Q10" s="194">
        <v>1000</v>
      </c>
      <c r="R10" s="194">
        <v>1000</v>
      </c>
      <c r="S10" s="192">
        <f t="shared" si="0"/>
        <v>2000</v>
      </c>
      <c r="T10" s="148" t="s">
        <v>88</v>
      </c>
      <c r="U10" s="149" t="s">
        <v>419</v>
      </c>
      <c r="V10" s="251" t="s">
        <v>462</v>
      </c>
      <c r="W10" s="150" t="s">
        <v>629</v>
      </c>
      <c r="X10" s="462" t="s">
        <v>764</v>
      </c>
    </row>
    <row r="11" spans="1:24" ht="15">
      <c r="A11" s="144">
        <v>9</v>
      </c>
      <c r="B11" s="144" t="s">
        <v>399</v>
      </c>
      <c r="C11" s="141" t="s">
        <v>400</v>
      </c>
      <c r="D11" s="307" t="s">
        <v>383</v>
      </c>
      <c r="E11" s="140">
        <v>38</v>
      </c>
      <c r="F11" s="153" t="s">
        <v>20</v>
      </c>
      <c r="G11" s="153" t="s">
        <v>21</v>
      </c>
      <c r="H11" s="191"/>
      <c r="I11" s="308" t="s">
        <v>437</v>
      </c>
      <c r="J11" s="307" t="s">
        <v>396</v>
      </c>
      <c r="K11" s="308" t="s">
        <v>437</v>
      </c>
      <c r="L11" s="309" t="s">
        <v>20</v>
      </c>
      <c r="M11" s="309" t="s">
        <v>21</v>
      </c>
      <c r="N11" s="310" t="s">
        <v>435</v>
      </c>
      <c r="O11" s="361" t="s">
        <v>439</v>
      </c>
      <c r="P11" s="158">
        <v>20</v>
      </c>
      <c r="Q11" s="194">
        <v>5000</v>
      </c>
      <c r="R11" s="194">
        <v>5000</v>
      </c>
      <c r="S11" s="192">
        <f t="shared" si="0"/>
        <v>10000</v>
      </c>
      <c r="T11" s="148" t="s">
        <v>88</v>
      </c>
      <c r="U11" s="149" t="s">
        <v>419</v>
      </c>
      <c r="V11" s="251" t="s">
        <v>462</v>
      </c>
      <c r="W11" s="150" t="s">
        <v>629</v>
      </c>
      <c r="X11" s="462" t="s">
        <v>764</v>
      </c>
    </row>
    <row r="12" spans="1:24" ht="15">
      <c r="A12" s="144">
        <v>10</v>
      </c>
      <c r="B12" s="144" t="s">
        <v>399</v>
      </c>
      <c r="C12" s="141" t="s">
        <v>400</v>
      </c>
      <c r="D12" s="307" t="s">
        <v>383</v>
      </c>
      <c r="E12" s="140">
        <v>38</v>
      </c>
      <c r="F12" s="144" t="s">
        <v>20</v>
      </c>
      <c r="G12" s="144" t="s">
        <v>21</v>
      </c>
      <c r="H12" s="191"/>
      <c r="I12" s="308" t="s">
        <v>438</v>
      </c>
      <c r="J12" s="307" t="s">
        <v>396</v>
      </c>
      <c r="K12" s="308" t="s">
        <v>438</v>
      </c>
      <c r="L12" s="311" t="s">
        <v>20</v>
      </c>
      <c r="M12" s="311" t="s">
        <v>21</v>
      </c>
      <c r="N12" s="312" t="s">
        <v>436</v>
      </c>
      <c r="O12" s="362" t="s">
        <v>532</v>
      </c>
      <c r="P12" s="248">
        <v>5</v>
      </c>
      <c r="Q12" s="249">
        <v>1000</v>
      </c>
      <c r="R12" s="249">
        <v>1000</v>
      </c>
      <c r="S12" s="192">
        <f t="shared" si="0"/>
        <v>2000</v>
      </c>
      <c r="T12" s="250" t="s">
        <v>88</v>
      </c>
      <c r="U12" s="149" t="s">
        <v>419</v>
      </c>
      <c r="V12" s="251" t="s">
        <v>462</v>
      </c>
      <c r="W12" s="150" t="s">
        <v>629</v>
      </c>
      <c r="X12" s="462" t="s">
        <v>764</v>
      </c>
    </row>
    <row r="13" spans="1:24">
      <c r="O13" s="15"/>
      <c r="P13" s="15">
        <f>P12+P11+P10+P9+P8+P7+P6+600+450+450</f>
        <v>1655</v>
      </c>
      <c r="Q13" s="159">
        <f>SUM(Q3:Q12)</f>
        <v>1554641</v>
      </c>
      <c r="R13" s="159">
        <f>SUM(R3:R12)</f>
        <v>1554641</v>
      </c>
      <c r="S13" s="159">
        <f>SUM(S3:S12)</f>
        <v>3109282</v>
      </c>
      <c r="T13" s="160"/>
      <c r="U13" s="15"/>
    </row>
    <row r="14" spans="1:24">
      <c r="N14" s="15"/>
      <c r="O14" s="15"/>
      <c r="P14" s="131"/>
      <c r="Q14" s="131"/>
      <c r="R14" s="131"/>
      <c r="S14" s="159"/>
      <c r="T14" s="161"/>
      <c r="U14" s="15"/>
    </row>
    <row r="15" spans="1:24">
      <c r="D15" s="84"/>
      <c r="O15" s="15"/>
      <c r="P15" s="15"/>
      <c r="Q15" s="15"/>
      <c r="R15" s="15"/>
      <c r="S15" s="131"/>
      <c r="T15" s="15"/>
      <c r="U15" s="15"/>
    </row>
    <row r="16" spans="1:24">
      <c r="O16" s="15"/>
      <c r="P16" s="132"/>
      <c r="Q16" s="132"/>
      <c r="R16" s="132"/>
      <c r="S16" s="131"/>
      <c r="T16" s="15"/>
      <c r="U16" s="131"/>
    </row>
    <row r="17" spans="8:21">
      <c r="O17" s="15"/>
      <c r="P17" s="132"/>
      <c r="Q17" s="132"/>
      <c r="R17" s="132"/>
      <c r="S17" s="131"/>
      <c r="T17" s="15"/>
      <c r="U17" s="15"/>
    </row>
    <row r="18" spans="8:21">
      <c r="I18" s="122"/>
      <c r="O18" s="15"/>
      <c r="P18" s="15"/>
      <c r="Q18" s="15"/>
      <c r="R18" s="15"/>
      <c r="S18" s="15"/>
      <c r="T18" s="15"/>
      <c r="U18" s="15"/>
    </row>
    <row r="19" spans="8:21">
      <c r="H19" s="122"/>
      <c r="O19" s="15"/>
      <c r="P19" s="15"/>
      <c r="Q19" s="15"/>
      <c r="R19" s="15"/>
      <c r="S19" s="15"/>
      <c r="T19" s="15"/>
      <c r="U19" s="15"/>
    </row>
    <row r="20" spans="8:21">
      <c r="S20" t="s">
        <v>448</v>
      </c>
    </row>
    <row r="21" spans="8:21" ht="15">
      <c r="S21" s="165">
        <f>S22+S23+S26</f>
        <v>3109282</v>
      </c>
      <c r="U21">
        <v>0.38</v>
      </c>
    </row>
    <row r="22" spans="8:21" ht="15">
      <c r="Q22" s="354">
        <f t="shared" ref="Q22:R22" si="1">Q12+Q11+Q10+Q9+Q8+Q6</f>
        <v>44065</v>
      </c>
      <c r="R22" s="354">
        <f t="shared" si="1"/>
        <v>44065</v>
      </c>
      <c r="S22" s="356">
        <f>S12+S11+S10+S9+S8+S6</f>
        <v>88130</v>
      </c>
      <c r="T22" s="355" t="s">
        <v>88</v>
      </c>
    </row>
    <row r="23" spans="8:21" ht="15">
      <c r="Q23" s="195">
        <f t="shared" ref="Q23" si="2">Q7</f>
        <v>4522</v>
      </c>
      <c r="R23" s="195">
        <f>R7</f>
        <v>4522</v>
      </c>
      <c r="S23" s="356">
        <f>S7</f>
        <v>9044</v>
      </c>
      <c r="T23" s="355" t="s">
        <v>159</v>
      </c>
    </row>
    <row r="24" spans="8:21">
      <c r="Q24" s="269">
        <v>1022</v>
      </c>
      <c r="R24" s="269">
        <v>1022</v>
      </c>
      <c r="S24" s="205">
        <f>Q24+R24</f>
        <v>2044</v>
      </c>
      <c r="T24" t="s">
        <v>408</v>
      </c>
    </row>
    <row r="25" spans="8:21">
      <c r="Q25" s="269">
        <v>3500</v>
      </c>
      <c r="R25" s="269">
        <v>3500</v>
      </c>
      <c r="S25" s="205">
        <f>Q25+R25</f>
        <v>7000</v>
      </c>
      <c r="T25" t="s">
        <v>440</v>
      </c>
    </row>
    <row r="26" spans="8:21" ht="15">
      <c r="Q26" s="357">
        <f>Q3+Q4+Q5</f>
        <v>1506054</v>
      </c>
      <c r="R26" s="357">
        <f>R3+R4+R5</f>
        <v>1506054</v>
      </c>
      <c r="S26" s="356">
        <f>S3+S4+S5</f>
        <v>3012108</v>
      </c>
      <c r="T26" s="355" t="s">
        <v>386</v>
      </c>
    </row>
    <row r="28" spans="8:21">
      <c r="S28">
        <f>3</f>
        <v>3</v>
      </c>
      <c r="T28" t="s">
        <v>386</v>
      </c>
    </row>
    <row r="29" spans="8:21">
      <c r="S29" s="14">
        <v>6</v>
      </c>
      <c r="T29" t="s">
        <v>88</v>
      </c>
    </row>
    <row r="30" spans="8:21">
      <c r="S30">
        <v>1</v>
      </c>
      <c r="T30" t="s">
        <v>159</v>
      </c>
    </row>
    <row r="31" spans="8:21">
      <c r="S31">
        <v>10</v>
      </c>
      <c r="T31" t="s">
        <v>512</v>
      </c>
    </row>
    <row r="32" spans="8:21">
      <c r="S32" s="14"/>
    </row>
    <row r="33" spans="19:19">
      <c r="S33" s="14">
        <f>S26+S23+S22</f>
        <v>3109282</v>
      </c>
    </row>
    <row r="34" spans="19:19">
      <c r="S34" s="14"/>
    </row>
  </sheetData>
  <mergeCells count="5">
    <mergeCell ref="A1:A2"/>
    <mergeCell ref="B1:D1"/>
    <mergeCell ref="E1:I1"/>
    <mergeCell ref="J1:M1"/>
    <mergeCell ref="N1:T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opLeftCell="I1" workbookViewId="0">
      <selection activeCell="X20" sqref="X20"/>
    </sheetView>
  </sheetViews>
  <sheetFormatPr defaultRowHeight="14.25"/>
  <cols>
    <col min="1" max="1" width="3" style="269" bestFit="1" customWidth="1"/>
    <col min="2" max="2" width="30.125" style="269" customWidth="1"/>
    <col min="3" max="3" width="11.5" style="269" customWidth="1"/>
    <col min="4" max="4" width="8.625" style="269" customWidth="1"/>
    <col min="5" max="5" width="3.875" style="269" customWidth="1"/>
    <col min="6" max="6" width="7.375" style="269" customWidth="1"/>
    <col min="7" max="7" width="9" style="269"/>
    <col min="8" max="8" width="23.875" style="269" customWidth="1"/>
    <col min="9" max="9" width="27.125" style="269" customWidth="1"/>
    <col min="10" max="10" width="19.875" style="269" customWidth="1"/>
    <col min="11" max="11" width="8.125" style="269" customWidth="1"/>
    <col min="12" max="12" width="6.875" style="269" customWidth="1"/>
    <col min="13" max="13" width="10.5" style="269" customWidth="1"/>
    <col min="14" max="14" width="19.125" style="269" customWidth="1"/>
    <col min="15" max="15" width="12.25" style="269" customWidth="1"/>
    <col min="16" max="20" width="9" style="269"/>
    <col min="21" max="21" width="11" style="269" customWidth="1"/>
    <col min="22" max="22" width="20.375" style="269" customWidth="1"/>
    <col min="23" max="23" width="17.875" style="269" customWidth="1"/>
    <col min="24" max="24" width="14.25" style="269" customWidth="1"/>
    <col min="25" max="25" width="16.25" style="269" hidden="1" customWidth="1"/>
    <col min="26" max="16384" width="9" style="269"/>
  </cols>
  <sheetData>
    <row r="1" spans="1:25" s="270" customFormat="1">
      <c r="A1" s="551" t="s">
        <v>16</v>
      </c>
      <c r="B1" s="553" t="s">
        <v>15</v>
      </c>
      <c r="C1" s="554"/>
      <c r="D1" s="555"/>
      <c r="E1" s="553" t="s">
        <v>14</v>
      </c>
      <c r="F1" s="554"/>
      <c r="G1" s="554"/>
      <c r="H1" s="554"/>
      <c r="I1" s="555"/>
      <c r="J1" s="553" t="s">
        <v>381</v>
      </c>
      <c r="K1" s="554"/>
      <c r="L1" s="554"/>
      <c r="M1" s="555"/>
      <c r="N1" s="553" t="s">
        <v>12</v>
      </c>
      <c r="O1" s="554"/>
      <c r="P1" s="554"/>
      <c r="Q1" s="554"/>
      <c r="R1" s="554"/>
      <c r="S1" s="554"/>
      <c r="T1" s="555"/>
    </row>
    <row r="2" spans="1:25" s="270" customFormat="1" ht="59.25" customHeight="1">
      <c r="A2" s="552"/>
      <c r="B2" s="281" t="s">
        <v>11</v>
      </c>
      <c r="C2" s="271" t="s">
        <v>10</v>
      </c>
      <c r="D2" s="281" t="s">
        <v>6</v>
      </c>
      <c r="E2" s="281" t="s">
        <v>5</v>
      </c>
      <c r="F2" s="281" t="s">
        <v>4</v>
      </c>
      <c r="G2" s="281" t="s">
        <v>9</v>
      </c>
      <c r="H2" s="281" t="s">
        <v>8</v>
      </c>
      <c r="I2" s="516" t="s">
        <v>7</v>
      </c>
      <c r="J2" s="517" t="s">
        <v>6</v>
      </c>
      <c r="K2" s="517" t="s">
        <v>5</v>
      </c>
      <c r="L2" s="517" t="s">
        <v>4</v>
      </c>
      <c r="M2" s="517" t="s">
        <v>3</v>
      </c>
      <c r="N2" s="516" t="s">
        <v>541</v>
      </c>
      <c r="O2" s="516" t="s">
        <v>2</v>
      </c>
      <c r="P2" s="516" t="s">
        <v>1</v>
      </c>
      <c r="Q2" s="516" t="s">
        <v>461</v>
      </c>
      <c r="R2" s="516" t="s">
        <v>684</v>
      </c>
      <c r="S2" s="516" t="s">
        <v>683</v>
      </c>
      <c r="T2" s="516" t="s">
        <v>542</v>
      </c>
      <c r="U2" s="276" t="s">
        <v>114</v>
      </c>
      <c r="V2" s="276" t="s">
        <v>117</v>
      </c>
      <c r="W2" s="277" t="s">
        <v>543</v>
      </c>
      <c r="X2" s="277" t="s">
        <v>537</v>
      </c>
      <c r="Y2" s="277" t="s">
        <v>120</v>
      </c>
    </row>
    <row r="3" spans="1:25" ht="14.25" customHeight="1">
      <c r="A3" s="273">
        <v>1</v>
      </c>
      <c r="B3" s="273" t="s">
        <v>626</v>
      </c>
      <c r="C3" s="266" t="s">
        <v>544</v>
      </c>
      <c r="D3" s="273" t="s">
        <v>545</v>
      </c>
      <c r="E3" s="273">
        <v>2</v>
      </c>
      <c r="F3" s="273" t="s">
        <v>20</v>
      </c>
      <c r="G3" s="273" t="s">
        <v>21</v>
      </c>
      <c r="H3" s="267" t="s">
        <v>546</v>
      </c>
      <c r="I3" s="512" t="s">
        <v>547</v>
      </c>
      <c r="J3" s="512" t="s">
        <v>545</v>
      </c>
      <c r="K3" s="512">
        <v>2</v>
      </c>
      <c r="L3" s="512" t="s">
        <v>20</v>
      </c>
      <c r="M3" s="512" t="s">
        <v>21</v>
      </c>
      <c r="N3" s="518" t="s">
        <v>548</v>
      </c>
      <c r="O3" s="518" t="s">
        <v>549</v>
      </c>
      <c r="P3" s="512">
        <v>30</v>
      </c>
      <c r="Q3" s="513">
        <v>95000</v>
      </c>
      <c r="R3" s="513">
        <v>100000</v>
      </c>
      <c r="S3" s="513">
        <f>Q3+R3</f>
        <v>195000</v>
      </c>
      <c r="T3" s="512" t="s">
        <v>133</v>
      </c>
      <c r="U3" s="282" t="s">
        <v>115</v>
      </c>
      <c r="V3" s="275" t="s">
        <v>462</v>
      </c>
      <c r="W3" s="275" t="s">
        <v>763</v>
      </c>
      <c r="X3" s="462" t="s">
        <v>764</v>
      </c>
      <c r="Y3" s="278" t="s">
        <v>191</v>
      </c>
    </row>
    <row r="4" spans="1:25" ht="14.25" customHeight="1">
      <c r="A4" s="273">
        <v>2</v>
      </c>
      <c r="B4" s="273" t="s">
        <v>626</v>
      </c>
      <c r="C4" s="266" t="s">
        <v>544</v>
      </c>
      <c r="D4" s="273" t="s">
        <v>545</v>
      </c>
      <c r="E4" s="273">
        <v>2</v>
      </c>
      <c r="F4" s="273" t="s">
        <v>20</v>
      </c>
      <c r="G4" s="273" t="s">
        <v>21</v>
      </c>
      <c r="H4" s="267" t="s">
        <v>546</v>
      </c>
      <c r="I4" s="512" t="s">
        <v>550</v>
      </c>
      <c r="J4" s="512" t="s">
        <v>551</v>
      </c>
      <c r="K4" s="512"/>
      <c r="L4" s="512" t="s">
        <v>20</v>
      </c>
      <c r="M4" s="512" t="s">
        <v>21</v>
      </c>
      <c r="N4" s="518" t="s">
        <v>552</v>
      </c>
      <c r="O4" s="518" t="s">
        <v>553</v>
      </c>
      <c r="P4" s="512">
        <v>10</v>
      </c>
      <c r="Q4" s="513">
        <v>16000</v>
      </c>
      <c r="R4" s="513">
        <v>17000</v>
      </c>
      <c r="S4" s="513">
        <f>Q4+R4</f>
        <v>33000</v>
      </c>
      <c r="T4" s="512" t="s">
        <v>88</v>
      </c>
      <c r="U4" s="282" t="s">
        <v>115</v>
      </c>
      <c r="V4" s="275" t="s">
        <v>462</v>
      </c>
      <c r="W4" s="275" t="s">
        <v>763</v>
      </c>
      <c r="X4" s="462" t="s">
        <v>764</v>
      </c>
      <c r="Y4" s="278"/>
    </row>
    <row r="5" spans="1:25">
      <c r="A5" s="273">
        <v>3</v>
      </c>
      <c r="B5" s="273" t="s">
        <v>626</v>
      </c>
      <c r="C5" s="266" t="s">
        <v>544</v>
      </c>
      <c r="D5" s="273" t="s">
        <v>545</v>
      </c>
      <c r="E5" s="273">
        <v>2</v>
      </c>
      <c r="F5" s="273" t="s">
        <v>20</v>
      </c>
      <c r="G5" s="273" t="s">
        <v>21</v>
      </c>
      <c r="H5" s="267" t="s">
        <v>546</v>
      </c>
      <c r="I5" s="512" t="s">
        <v>550</v>
      </c>
      <c r="J5" s="512" t="s">
        <v>554</v>
      </c>
      <c r="K5" s="512"/>
      <c r="L5" s="512" t="s">
        <v>20</v>
      </c>
      <c r="M5" s="512" t="s">
        <v>21</v>
      </c>
      <c r="N5" s="518" t="s">
        <v>555</v>
      </c>
      <c r="O5" s="518" t="s">
        <v>556</v>
      </c>
      <c r="P5" s="512">
        <v>5</v>
      </c>
      <c r="Q5" s="513">
        <v>12000</v>
      </c>
      <c r="R5" s="513">
        <v>13000</v>
      </c>
      <c r="S5" s="513">
        <f t="shared" ref="S5:S17" si="0">Q5+R5</f>
        <v>25000</v>
      </c>
      <c r="T5" s="512" t="s">
        <v>88</v>
      </c>
      <c r="U5" s="282" t="s">
        <v>115</v>
      </c>
      <c r="V5" s="275" t="s">
        <v>462</v>
      </c>
      <c r="W5" s="275" t="s">
        <v>763</v>
      </c>
      <c r="X5" s="462" t="s">
        <v>764</v>
      </c>
    </row>
    <row r="6" spans="1:25">
      <c r="A6" s="273">
        <v>4</v>
      </c>
      <c r="B6" s="273" t="s">
        <v>626</v>
      </c>
      <c r="C6" s="266" t="s">
        <v>544</v>
      </c>
      <c r="D6" s="273" t="s">
        <v>545</v>
      </c>
      <c r="E6" s="273">
        <v>2</v>
      </c>
      <c r="F6" s="273" t="s">
        <v>20</v>
      </c>
      <c r="G6" s="273" t="s">
        <v>21</v>
      </c>
      <c r="H6" s="267" t="s">
        <v>546</v>
      </c>
      <c r="I6" s="512" t="s">
        <v>557</v>
      </c>
      <c r="J6" s="512" t="s">
        <v>558</v>
      </c>
      <c r="K6" s="512"/>
      <c r="L6" s="512" t="s">
        <v>20</v>
      </c>
      <c r="M6" s="512" t="s">
        <v>21</v>
      </c>
      <c r="N6" s="518" t="s">
        <v>559</v>
      </c>
      <c r="O6" s="518" t="s">
        <v>560</v>
      </c>
      <c r="P6" s="512">
        <v>2</v>
      </c>
      <c r="Q6" s="513">
        <v>1500</v>
      </c>
      <c r="R6" s="513">
        <v>1500</v>
      </c>
      <c r="S6" s="513">
        <f t="shared" si="0"/>
        <v>3000</v>
      </c>
      <c r="T6" s="512" t="s">
        <v>88</v>
      </c>
      <c r="U6" s="282" t="s">
        <v>115</v>
      </c>
      <c r="V6" s="275" t="s">
        <v>462</v>
      </c>
      <c r="W6" s="275" t="s">
        <v>763</v>
      </c>
      <c r="X6" s="462" t="s">
        <v>764</v>
      </c>
    </row>
    <row r="7" spans="1:25">
      <c r="A7" s="273">
        <v>5</v>
      </c>
      <c r="B7" s="273" t="s">
        <v>626</v>
      </c>
      <c r="C7" s="266" t="s">
        <v>544</v>
      </c>
      <c r="D7" s="273" t="s">
        <v>545</v>
      </c>
      <c r="E7" s="273">
        <v>2</v>
      </c>
      <c r="F7" s="273" t="s">
        <v>20</v>
      </c>
      <c r="G7" s="273" t="s">
        <v>21</v>
      </c>
      <c r="H7" s="267" t="s">
        <v>546</v>
      </c>
      <c r="I7" s="512" t="s">
        <v>557</v>
      </c>
      <c r="J7" s="512" t="s">
        <v>561</v>
      </c>
      <c r="K7" s="512"/>
      <c r="L7" s="512" t="s">
        <v>20</v>
      </c>
      <c r="M7" s="512" t="s">
        <v>21</v>
      </c>
      <c r="N7" s="518" t="s">
        <v>562</v>
      </c>
      <c r="O7" s="518" t="s">
        <v>563</v>
      </c>
      <c r="P7" s="512">
        <v>2</v>
      </c>
      <c r="Q7" s="513">
        <v>1500</v>
      </c>
      <c r="R7" s="513">
        <v>1500</v>
      </c>
      <c r="S7" s="513">
        <f t="shared" si="0"/>
        <v>3000</v>
      </c>
      <c r="T7" s="512" t="s">
        <v>88</v>
      </c>
      <c r="U7" s="282" t="s">
        <v>115</v>
      </c>
      <c r="V7" s="275" t="s">
        <v>462</v>
      </c>
      <c r="W7" s="275" t="s">
        <v>763</v>
      </c>
      <c r="X7" s="462" t="s">
        <v>764</v>
      </c>
    </row>
    <row r="8" spans="1:25">
      <c r="A8" s="273">
        <v>6</v>
      </c>
      <c r="B8" s="273" t="s">
        <v>626</v>
      </c>
      <c r="C8" s="266" t="s">
        <v>544</v>
      </c>
      <c r="D8" s="273" t="s">
        <v>545</v>
      </c>
      <c r="E8" s="273">
        <v>2</v>
      </c>
      <c r="F8" s="273" t="s">
        <v>20</v>
      </c>
      <c r="G8" s="273" t="s">
        <v>21</v>
      </c>
      <c r="H8" s="267" t="s">
        <v>546</v>
      </c>
      <c r="I8" s="512" t="s">
        <v>557</v>
      </c>
      <c r="J8" s="512" t="s">
        <v>564</v>
      </c>
      <c r="K8" s="512"/>
      <c r="L8" s="512" t="s">
        <v>20</v>
      </c>
      <c r="M8" s="512" t="s">
        <v>21</v>
      </c>
      <c r="N8" s="518" t="s">
        <v>565</v>
      </c>
      <c r="O8" s="518" t="s">
        <v>566</v>
      </c>
      <c r="P8" s="512">
        <v>2</v>
      </c>
      <c r="Q8" s="513">
        <v>1500</v>
      </c>
      <c r="R8" s="513">
        <v>1500</v>
      </c>
      <c r="S8" s="513">
        <f t="shared" si="0"/>
        <v>3000</v>
      </c>
      <c r="T8" s="512" t="s">
        <v>88</v>
      </c>
      <c r="U8" s="282" t="s">
        <v>115</v>
      </c>
      <c r="V8" s="275" t="s">
        <v>462</v>
      </c>
      <c r="W8" s="275" t="s">
        <v>763</v>
      </c>
      <c r="X8" s="462" t="s">
        <v>764</v>
      </c>
    </row>
    <row r="9" spans="1:25">
      <c r="A9" s="273">
        <v>7</v>
      </c>
      <c r="B9" s="273" t="s">
        <v>626</v>
      </c>
      <c r="C9" s="266" t="s">
        <v>544</v>
      </c>
      <c r="D9" s="273" t="s">
        <v>545</v>
      </c>
      <c r="E9" s="273">
        <v>2</v>
      </c>
      <c r="F9" s="273" t="s">
        <v>20</v>
      </c>
      <c r="G9" s="273" t="s">
        <v>21</v>
      </c>
      <c r="H9" s="267" t="s">
        <v>546</v>
      </c>
      <c r="I9" s="512" t="s">
        <v>557</v>
      </c>
      <c r="J9" s="512" t="s">
        <v>567</v>
      </c>
      <c r="K9" s="512"/>
      <c r="L9" s="512" t="s">
        <v>20</v>
      </c>
      <c r="M9" s="512" t="s">
        <v>21</v>
      </c>
      <c r="N9" s="518" t="s">
        <v>568</v>
      </c>
      <c r="O9" s="518" t="s">
        <v>569</v>
      </c>
      <c r="P9" s="512">
        <v>2</v>
      </c>
      <c r="Q9" s="513">
        <v>1500</v>
      </c>
      <c r="R9" s="513">
        <v>1500</v>
      </c>
      <c r="S9" s="513">
        <f t="shared" si="0"/>
        <v>3000</v>
      </c>
      <c r="T9" s="512" t="s">
        <v>88</v>
      </c>
      <c r="U9" s="282" t="s">
        <v>115</v>
      </c>
      <c r="V9" s="275" t="s">
        <v>462</v>
      </c>
      <c r="W9" s="275" t="s">
        <v>763</v>
      </c>
      <c r="X9" s="462" t="s">
        <v>764</v>
      </c>
    </row>
    <row r="10" spans="1:25">
      <c r="A10" s="273">
        <v>8</v>
      </c>
      <c r="B10" s="273" t="s">
        <v>626</v>
      </c>
      <c r="C10" s="266" t="s">
        <v>544</v>
      </c>
      <c r="D10" s="273" t="s">
        <v>570</v>
      </c>
      <c r="E10" s="273">
        <v>2</v>
      </c>
      <c r="F10" s="273" t="s">
        <v>20</v>
      </c>
      <c r="G10" s="273" t="s">
        <v>21</v>
      </c>
      <c r="H10" s="267" t="s">
        <v>546</v>
      </c>
      <c r="I10" s="512" t="s">
        <v>557</v>
      </c>
      <c r="J10" s="512" t="s">
        <v>571</v>
      </c>
      <c r="K10" s="512"/>
      <c r="L10" s="512" t="s">
        <v>20</v>
      </c>
      <c r="M10" s="512" t="s">
        <v>21</v>
      </c>
      <c r="N10" s="518" t="s">
        <v>572</v>
      </c>
      <c r="O10" s="518" t="s">
        <v>573</v>
      </c>
      <c r="P10" s="512">
        <v>2</v>
      </c>
      <c r="Q10" s="513">
        <v>1500</v>
      </c>
      <c r="R10" s="513">
        <v>1500</v>
      </c>
      <c r="S10" s="513">
        <f t="shared" si="0"/>
        <v>3000</v>
      </c>
      <c r="T10" s="512" t="s">
        <v>88</v>
      </c>
      <c r="U10" s="282" t="s">
        <v>115</v>
      </c>
      <c r="V10" s="275" t="s">
        <v>462</v>
      </c>
      <c r="W10" s="275" t="s">
        <v>763</v>
      </c>
      <c r="X10" s="462" t="s">
        <v>764</v>
      </c>
    </row>
    <row r="11" spans="1:25">
      <c r="A11" s="273">
        <v>9</v>
      </c>
      <c r="B11" s="273" t="s">
        <v>626</v>
      </c>
      <c r="C11" s="266" t="s">
        <v>544</v>
      </c>
      <c r="D11" s="273" t="s">
        <v>545</v>
      </c>
      <c r="E11" s="273">
        <v>2</v>
      </c>
      <c r="F11" s="273" t="s">
        <v>20</v>
      </c>
      <c r="G11" s="273" t="s">
        <v>21</v>
      </c>
      <c r="H11" s="267" t="s">
        <v>546</v>
      </c>
      <c r="I11" s="512" t="s">
        <v>557</v>
      </c>
      <c r="J11" s="512" t="s">
        <v>571</v>
      </c>
      <c r="K11" s="512"/>
      <c r="L11" s="512" t="s">
        <v>20</v>
      </c>
      <c r="M11" s="512" t="s">
        <v>21</v>
      </c>
      <c r="N11" s="518" t="s">
        <v>574</v>
      </c>
      <c r="O11" s="518" t="s">
        <v>575</v>
      </c>
      <c r="P11" s="512">
        <v>2</v>
      </c>
      <c r="Q11" s="513">
        <v>1500</v>
      </c>
      <c r="R11" s="513">
        <v>1500</v>
      </c>
      <c r="S11" s="513">
        <f t="shared" si="0"/>
        <v>3000</v>
      </c>
      <c r="T11" s="512" t="s">
        <v>88</v>
      </c>
      <c r="U11" s="282" t="s">
        <v>115</v>
      </c>
      <c r="V11" s="275" t="s">
        <v>462</v>
      </c>
      <c r="W11" s="275" t="s">
        <v>763</v>
      </c>
      <c r="X11" s="462" t="s">
        <v>764</v>
      </c>
    </row>
    <row r="12" spans="1:25">
      <c r="A12" s="273">
        <v>10</v>
      </c>
      <c r="B12" s="273" t="s">
        <v>626</v>
      </c>
      <c r="C12" s="266" t="s">
        <v>544</v>
      </c>
      <c r="D12" s="273" t="s">
        <v>545</v>
      </c>
      <c r="E12" s="273">
        <v>2</v>
      </c>
      <c r="F12" s="273" t="s">
        <v>20</v>
      </c>
      <c r="G12" s="273" t="s">
        <v>21</v>
      </c>
      <c r="H12" s="267" t="s">
        <v>546</v>
      </c>
      <c r="I12" s="512" t="s">
        <v>557</v>
      </c>
      <c r="J12" s="512" t="s">
        <v>554</v>
      </c>
      <c r="K12" s="512"/>
      <c r="L12" s="512" t="s">
        <v>20</v>
      </c>
      <c r="M12" s="512" t="s">
        <v>21</v>
      </c>
      <c r="N12" s="518" t="s">
        <v>576</v>
      </c>
      <c r="O12" s="518" t="s">
        <v>577</v>
      </c>
      <c r="P12" s="512">
        <v>2</v>
      </c>
      <c r="Q12" s="513">
        <v>1500</v>
      </c>
      <c r="R12" s="513">
        <v>1500</v>
      </c>
      <c r="S12" s="513">
        <f t="shared" si="0"/>
        <v>3000</v>
      </c>
      <c r="T12" s="512" t="s">
        <v>88</v>
      </c>
      <c r="U12" s="282" t="s">
        <v>115</v>
      </c>
      <c r="V12" s="275" t="s">
        <v>462</v>
      </c>
      <c r="W12" s="275" t="s">
        <v>763</v>
      </c>
      <c r="X12" s="462" t="s">
        <v>764</v>
      </c>
    </row>
    <row r="13" spans="1:25">
      <c r="A13" s="273">
        <v>11</v>
      </c>
      <c r="B13" s="273" t="s">
        <v>626</v>
      </c>
      <c r="C13" s="266" t="s">
        <v>544</v>
      </c>
      <c r="D13" s="273" t="s">
        <v>545</v>
      </c>
      <c r="E13" s="273">
        <v>2</v>
      </c>
      <c r="F13" s="273" t="s">
        <v>20</v>
      </c>
      <c r="G13" s="273" t="s">
        <v>21</v>
      </c>
      <c r="H13" s="267" t="s">
        <v>546</v>
      </c>
      <c r="I13" s="512" t="s">
        <v>557</v>
      </c>
      <c r="J13" s="512" t="s">
        <v>578</v>
      </c>
      <c r="K13" s="512"/>
      <c r="L13" s="512" t="s">
        <v>20</v>
      </c>
      <c r="M13" s="512" t="s">
        <v>21</v>
      </c>
      <c r="N13" s="518" t="s">
        <v>579</v>
      </c>
      <c r="O13" s="518" t="s">
        <v>580</v>
      </c>
      <c r="P13" s="512">
        <v>2</v>
      </c>
      <c r="Q13" s="513">
        <v>1500</v>
      </c>
      <c r="R13" s="513">
        <v>1500</v>
      </c>
      <c r="S13" s="513">
        <f t="shared" si="0"/>
        <v>3000</v>
      </c>
      <c r="T13" s="512" t="s">
        <v>88</v>
      </c>
      <c r="U13" s="282" t="s">
        <v>115</v>
      </c>
      <c r="V13" s="275" t="s">
        <v>462</v>
      </c>
      <c r="W13" s="275" t="s">
        <v>763</v>
      </c>
      <c r="X13" s="462" t="s">
        <v>764</v>
      </c>
    </row>
    <row r="14" spans="1:25">
      <c r="A14" s="273">
        <v>12</v>
      </c>
      <c r="B14" s="273" t="s">
        <v>626</v>
      </c>
      <c r="C14" s="266" t="s">
        <v>544</v>
      </c>
      <c r="D14" s="273" t="s">
        <v>545</v>
      </c>
      <c r="E14" s="273">
        <v>2</v>
      </c>
      <c r="F14" s="273" t="s">
        <v>20</v>
      </c>
      <c r="G14" s="273" t="s">
        <v>21</v>
      </c>
      <c r="H14" s="267" t="s">
        <v>546</v>
      </c>
      <c r="I14" s="512" t="s">
        <v>557</v>
      </c>
      <c r="J14" s="512" t="s">
        <v>581</v>
      </c>
      <c r="K14" s="512"/>
      <c r="L14" s="512" t="s">
        <v>20</v>
      </c>
      <c r="M14" s="512" t="s">
        <v>21</v>
      </c>
      <c r="N14" s="518" t="s">
        <v>582</v>
      </c>
      <c r="O14" s="518" t="s">
        <v>583</v>
      </c>
      <c r="P14" s="512">
        <v>2</v>
      </c>
      <c r="Q14" s="513">
        <v>1500</v>
      </c>
      <c r="R14" s="513">
        <v>1500</v>
      </c>
      <c r="S14" s="513">
        <f t="shared" si="0"/>
        <v>3000</v>
      </c>
      <c r="T14" s="512" t="s">
        <v>88</v>
      </c>
      <c r="U14" s="282" t="s">
        <v>115</v>
      </c>
      <c r="V14" s="275" t="s">
        <v>462</v>
      </c>
      <c r="W14" s="275" t="s">
        <v>763</v>
      </c>
      <c r="X14" s="462" t="s">
        <v>764</v>
      </c>
    </row>
    <row r="15" spans="1:25">
      <c r="A15" s="273">
        <v>13</v>
      </c>
      <c r="B15" s="273" t="s">
        <v>626</v>
      </c>
      <c r="C15" s="266" t="s">
        <v>544</v>
      </c>
      <c r="D15" s="273" t="s">
        <v>545</v>
      </c>
      <c r="E15" s="273">
        <v>2</v>
      </c>
      <c r="F15" s="273" t="s">
        <v>20</v>
      </c>
      <c r="G15" s="273" t="s">
        <v>21</v>
      </c>
      <c r="H15" s="267" t="s">
        <v>546</v>
      </c>
      <c r="I15" s="512" t="s">
        <v>557</v>
      </c>
      <c r="J15" s="512" t="s">
        <v>584</v>
      </c>
      <c r="K15" s="512"/>
      <c r="L15" s="512" t="s">
        <v>20</v>
      </c>
      <c r="M15" s="512" t="s">
        <v>21</v>
      </c>
      <c r="N15" s="518" t="s">
        <v>585</v>
      </c>
      <c r="O15" s="518" t="s">
        <v>586</v>
      </c>
      <c r="P15" s="512">
        <v>2</v>
      </c>
      <c r="Q15" s="513">
        <v>1500</v>
      </c>
      <c r="R15" s="513">
        <v>1500</v>
      </c>
      <c r="S15" s="513">
        <f t="shared" si="0"/>
        <v>3000</v>
      </c>
      <c r="T15" s="512" t="s">
        <v>88</v>
      </c>
      <c r="U15" s="282" t="s">
        <v>115</v>
      </c>
      <c r="V15" s="275" t="s">
        <v>462</v>
      </c>
      <c r="W15" s="275" t="s">
        <v>763</v>
      </c>
      <c r="X15" s="462" t="s">
        <v>764</v>
      </c>
    </row>
    <row r="16" spans="1:25">
      <c r="A16" s="273">
        <v>14</v>
      </c>
      <c r="B16" s="273" t="s">
        <v>626</v>
      </c>
      <c r="C16" s="266" t="s">
        <v>544</v>
      </c>
      <c r="D16" s="273" t="s">
        <v>545</v>
      </c>
      <c r="E16" s="273">
        <v>2</v>
      </c>
      <c r="F16" s="273" t="s">
        <v>20</v>
      </c>
      <c r="G16" s="273" t="s">
        <v>21</v>
      </c>
      <c r="H16" s="267" t="s">
        <v>546</v>
      </c>
      <c r="I16" s="512" t="s">
        <v>557</v>
      </c>
      <c r="J16" s="512" t="s">
        <v>587</v>
      </c>
      <c r="K16" s="512"/>
      <c r="L16" s="512" t="s">
        <v>20</v>
      </c>
      <c r="M16" s="512" t="s">
        <v>21</v>
      </c>
      <c r="N16" s="518" t="s">
        <v>588</v>
      </c>
      <c r="O16" s="518" t="s">
        <v>589</v>
      </c>
      <c r="P16" s="512">
        <v>2</v>
      </c>
      <c r="Q16" s="513">
        <v>1500</v>
      </c>
      <c r="R16" s="513">
        <v>1500</v>
      </c>
      <c r="S16" s="513">
        <f t="shared" si="0"/>
        <v>3000</v>
      </c>
      <c r="T16" s="512" t="s">
        <v>88</v>
      </c>
      <c r="U16" s="282" t="s">
        <v>115</v>
      </c>
      <c r="V16" s="275" t="s">
        <v>462</v>
      </c>
      <c r="W16" s="275" t="s">
        <v>763</v>
      </c>
      <c r="X16" s="462" t="s">
        <v>764</v>
      </c>
    </row>
    <row r="17" spans="1:24" ht="15">
      <c r="A17" s="273">
        <v>15</v>
      </c>
      <c r="B17" s="273" t="s">
        <v>626</v>
      </c>
      <c r="C17" s="266" t="s">
        <v>544</v>
      </c>
      <c r="D17" s="273" t="s">
        <v>545</v>
      </c>
      <c r="E17" s="273">
        <v>2</v>
      </c>
      <c r="F17" s="273" t="s">
        <v>20</v>
      </c>
      <c r="G17" s="273" t="s">
        <v>21</v>
      </c>
      <c r="H17" s="268" t="s">
        <v>546</v>
      </c>
      <c r="I17" s="512" t="s">
        <v>557</v>
      </c>
      <c r="J17" s="512" t="s">
        <v>590</v>
      </c>
      <c r="K17" s="519"/>
      <c r="L17" s="512" t="s">
        <v>20</v>
      </c>
      <c r="M17" s="512" t="s">
        <v>21</v>
      </c>
      <c r="N17" s="518" t="s">
        <v>591</v>
      </c>
      <c r="O17" s="520">
        <v>60742379</v>
      </c>
      <c r="P17" s="514">
        <v>2</v>
      </c>
      <c r="Q17" s="520">
        <v>1500</v>
      </c>
      <c r="R17" s="520">
        <v>1500</v>
      </c>
      <c r="S17" s="513">
        <f t="shared" si="0"/>
        <v>3000</v>
      </c>
      <c r="T17" s="515" t="s">
        <v>88</v>
      </c>
      <c r="U17" s="282" t="s">
        <v>115</v>
      </c>
      <c r="V17" s="275" t="s">
        <v>462</v>
      </c>
      <c r="W17" s="275" t="s">
        <v>763</v>
      </c>
      <c r="X17" s="462" t="s">
        <v>764</v>
      </c>
    </row>
    <row r="18" spans="1:24">
      <c r="O18" s="286" t="s">
        <v>592</v>
      </c>
      <c r="P18" s="280">
        <f>SUM(P3:P17)</f>
        <v>69</v>
      </c>
      <c r="Q18" s="205">
        <f>SUM(Q3:Q17)</f>
        <v>141000</v>
      </c>
      <c r="R18" s="205">
        <f>SUM(R3:R17)</f>
        <v>148000</v>
      </c>
      <c r="S18" s="205">
        <f>SUM(S3:S17)</f>
        <v>289000</v>
      </c>
      <c r="T18" s="280"/>
    </row>
    <row r="19" spans="1:24">
      <c r="P19" s="280"/>
      <c r="Q19" s="280"/>
      <c r="R19" s="280"/>
      <c r="S19" s="280"/>
      <c r="T19" s="280"/>
    </row>
    <row r="20" spans="1:24" ht="15">
      <c r="N20" s="269">
        <v>1</v>
      </c>
      <c r="O20" s="287" t="s">
        <v>606</v>
      </c>
      <c r="P20" s="212" t="s">
        <v>159</v>
      </c>
      <c r="Q20" s="272">
        <f>Q3</f>
        <v>95000</v>
      </c>
      <c r="R20" s="272">
        <f>R3</f>
        <v>100000</v>
      </c>
      <c r="S20" s="165">
        <f>Q20+R20</f>
        <v>195000</v>
      </c>
    </row>
    <row r="21" spans="1:24">
      <c r="P21" s="269" t="s">
        <v>408</v>
      </c>
      <c r="Q21" s="272">
        <f>Q20*T21</f>
        <v>28500</v>
      </c>
      <c r="R21" s="272">
        <v>30000</v>
      </c>
      <c r="S21" s="272">
        <f t="shared" ref="S21:S23" si="1">Q21+R21</f>
        <v>58500</v>
      </c>
      <c r="T21" s="269">
        <v>0.3</v>
      </c>
    </row>
    <row r="22" spans="1:24">
      <c r="P22" s="269" t="s">
        <v>440</v>
      </c>
      <c r="Q22" s="272">
        <f>Q20*T22</f>
        <v>66500</v>
      </c>
      <c r="R22" s="272">
        <v>70000</v>
      </c>
      <c r="S22" s="272">
        <f t="shared" si="1"/>
        <v>136500</v>
      </c>
      <c r="T22" s="280">
        <v>0.7</v>
      </c>
    </row>
    <row r="23" spans="1:24" ht="15">
      <c r="N23" s="269">
        <v>14</v>
      </c>
      <c r="O23" s="283" t="s">
        <v>605</v>
      </c>
      <c r="P23" s="212" t="s">
        <v>88</v>
      </c>
      <c r="Q23" s="272">
        <f>Q4+Q5+Q6+Q7+Q8+Q9+Q10+Q11+Q12+Q13+Q14+Q15+Q16+Q17</f>
        <v>46000</v>
      </c>
      <c r="R23" s="272">
        <f>R4+R5+R6+R7+R8+R9+R10+R11+R12+R13+R14+R15+R16+R17</f>
        <v>48000</v>
      </c>
      <c r="S23" s="165">
        <f t="shared" si="1"/>
        <v>94000</v>
      </c>
      <c r="T23" s="280"/>
    </row>
    <row r="24" spans="1:24">
      <c r="Q24" s="272"/>
      <c r="R24" s="272"/>
      <c r="S24" s="272"/>
      <c r="T24" s="280"/>
    </row>
    <row r="25" spans="1:24">
      <c r="Q25" s="272"/>
      <c r="R25" s="272"/>
      <c r="S25" s="272"/>
      <c r="T25" s="280"/>
    </row>
    <row r="26" spans="1:24">
      <c r="Q26" s="272"/>
      <c r="R26" s="272"/>
      <c r="S26" s="272"/>
      <c r="T26" s="280"/>
      <c r="U26" s="272"/>
      <c r="V26" s="272"/>
    </row>
    <row r="27" spans="1:24">
      <c r="Q27" s="272"/>
      <c r="R27" s="272"/>
      <c r="S27" s="272"/>
      <c r="T27" s="280"/>
    </row>
    <row r="28" spans="1:24">
      <c r="Q28" s="272"/>
      <c r="R28" s="272"/>
      <c r="S28" s="272"/>
      <c r="T28" s="280"/>
    </row>
    <row r="29" spans="1:24">
      <c r="Q29" s="272"/>
      <c r="R29" s="272"/>
      <c r="S29" s="272"/>
      <c r="T29" s="280"/>
    </row>
    <row r="30" spans="1:24">
      <c r="Q30" s="272"/>
      <c r="R30" s="272"/>
      <c r="S30" s="272"/>
      <c r="T30" s="280"/>
    </row>
    <row r="31" spans="1:24">
      <c r="Q31" s="272"/>
      <c r="R31" s="272"/>
      <c r="S31" s="272"/>
      <c r="T31" s="280"/>
    </row>
    <row r="32" spans="1:24">
      <c r="Q32" s="272"/>
      <c r="R32" s="272"/>
      <c r="S32" s="272"/>
      <c r="T32" s="280"/>
    </row>
    <row r="33" spans="17:20">
      <c r="Q33" s="272"/>
      <c r="R33" s="272"/>
      <c r="S33" s="272"/>
      <c r="T33" s="280"/>
    </row>
    <row r="34" spans="17:20">
      <c r="Q34" s="272"/>
      <c r="R34" s="272"/>
      <c r="S34" s="272"/>
      <c r="T34" s="280"/>
    </row>
    <row r="35" spans="17:20">
      <c r="Q35" s="272"/>
      <c r="R35" s="272"/>
      <c r="S35" s="272"/>
      <c r="T35" s="280"/>
    </row>
    <row r="36" spans="17:20">
      <c r="Q36" s="272"/>
      <c r="R36" s="272"/>
      <c r="S36" s="272"/>
      <c r="T36" s="280"/>
    </row>
    <row r="37" spans="17:20">
      <c r="Q37" s="272"/>
      <c r="R37" s="272"/>
      <c r="S37" s="272"/>
      <c r="T37" s="280"/>
    </row>
    <row r="38" spans="17:20">
      <c r="Q38" s="272"/>
      <c r="R38" s="272"/>
      <c r="S38" s="272"/>
    </row>
    <row r="40" spans="17:20">
      <c r="Q40" s="272"/>
      <c r="R40" s="272"/>
      <c r="S40" s="272"/>
    </row>
    <row r="41" spans="17:20">
      <c r="Q41" s="272"/>
      <c r="R41" s="272"/>
      <c r="S41" s="272"/>
    </row>
    <row r="44" spans="17:20">
      <c r="Q44" s="272"/>
      <c r="R44" s="272"/>
      <c r="S44" s="272"/>
    </row>
    <row r="45" spans="17:20">
      <c r="Q45" s="272"/>
      <c r="R45" s="272"/>
      <c r="S45" s="272"/>
    </row>
  </sheetData>
  <mergeCells count="5">
    <mergeCell ref="B1:D1"/>
    <mergeCell ref="E1:I1"/>
    <mergeCell ref="J1:M1"/>
    <mergeCell ref="N1:T1"/>
    <mergeCell ref="A1:A2"/>
  </mergeCells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opLeftCell="I1" workbookViewId="0">
      <selection activeCell="I2" sqref="I2:T4"/>
    </sheetView>
  </sheetViews>
  <sheetFormatPr defaultRowHeight="14.25"/>
  <cols>
    <col min="1" max="1" width="3" style="269" bestFit="1" customWidth="1"/>
    <col min="2" max="2" width="30.125" style="269" customWidth="1"/>
    <col min="3" max="3" width="11.5" style="269" customWidth="1"/>
    <col min="4" max="4" width="16.125" style="269" customWidth="1"/>
    <col min="5" max="5" width="3.875" style="269" customWidth="1"/>
    <col min="6" max="6" width="7.375" style="269" customWidth="1"/>
    <col min="7" max="7" width="9" style="269"/>
    <col min="8" max="8" width="23.875" style="269" customWidth="1"/>
    <col min="9" max="9" width="35.375" style="269" customWidth="1"/>
    <col min="10" max="10" width="14.875" style="269" customWidth="1"/>
    <col min="11" max="11" width="8.125" style="269" customWidth="1"/>
    <col min="12" max="12" width="6.875" style="269" customWidth="1"/>
    <col min="13" max="13" width="10.5" style="269" customWidth="1"/>
    <col min="14" max="14" width="19.125" style="269" customWidth="1"/>
    <col min="15" max="15" width="12.25" style="269" customWidth="1"/>
    <col min="16" max="20" width="9" style="269"/>
    <col min="21" max="21" width="11" style="269" customWidth="1"/>
    <col min="22" max="22" width="20.375" style="269" customWidth="1"/>
    <col min="23" max="23" width="17.875" style="269" customWidth="1"/>
    <col min="24" max="24" width="14.375" style="269" customWidth="1"/>
    <col min="25" max="25" width="16.25" style="269" hidden="1" customWidth="1"/>
    <col min="26" max="16384" width="9" style="269"/>
  </cols>
  <sheetData>
    <row r="1" spans="1:25" s="270" customFormat="1">
      <c r="A1" s="551" t="s">
        <v>16</v>
      </c>
      <c r="B1" s="553" t="s">
        <v>15</v>
      </c>
      <c r="C1" s="554"/>
      <c r="D1" s="555"/>
      <c r="E1" s="553" t="s">
        <v>14</v>
      </c>
      <c r="F1" s="554"/>
      <c r="G1" s="554"/>
      <c r="H1" s="554"/>
      <c r="I1" s="555"/>
      <c r="J1" s="553" t="s">
        <v>13</v>
      </c>
      <c r="K1" s="554"/>
      <c r="L1" s="554"/>
      <c r="M1" s="555"/>
      <c r="N1" s="553" t="s">
        <v>12</v>
      </c>
      <c r="O1" s="554"/>
      <c r="P1" s="554"/>
      <c r="Q1" s="554"/>
      <c r="R1" s="554"/>
      <c r="S1" s="554"/>
      <c r="T1" s="555"/>
    </row>
    <row r="2" spans="1:25" s="270" customFormat="1" ht="59.25" customHeight="1" thickBot="1">
      <c r="A2" s="552"/>
      <c r="B2" s="284" t="s">
        <v>11</v>
      </c>
      <c r="C2" s="271" t="s">
        <v>10</v>
      </c>
      <c r="D2" s="284" t="s">
        <v>6</v>
      </c>
      <c r="E2" s="284" t="s">
        <v>5</v>
      </c>
      <c r="F2" s="284" t="s">
        <v>4</v>
      </c>
      <c r="G2" s="284" t="s">
        <v>9</v>
      </c>
      <c r="H2" s="284" t="s">
        <v>8</v>
      </c>
      <c r="I2" s="284" t="s">
        <v>7</v>
      </c>
      <c r="J2" s="271" t="s">
        <v>6</v>
      </c>
      <c r="K2" s="271" t="s">
        <v>5</v>
      </c>
      <c r="L2" s="271" t="s">
        <v>4</v>
      </c>
      <c r="M2" s="271" t="s">
        <v>3</v>
      </c>
      <c r="N2" s="284" t="s">
        <v>17</v>
      </c>
      <c r="O2" s="284" t="s">
        <v>2</v>
      </c>
      <c r="P2" s="284" t="s">
        <v>1</v>
      </c>
      <c r="Q2" s="348" t="s">
        <v>461</v>
      </c>
      <c r="R2" s="348" t="s">
        <v>684</v>
      </c>
      <c r="S2" s="348" t="s">
        <v>683</v>
      </c>
      <c r="T2" s="284" t="s">
        <v>0</v>
      </c>
      <c r="U2" s="276" t="s">
        <v>114</v>
      </c>
      <c r="V2" s="276" t="s">
        <v>117</v>
      </c>
      <c r="W2" s="277" t="s">
        <v>118</v>
      </c>
      <c r="X2" s="277" t="s">
        <v>537</v>
      </c>
      <c r="Y2" s="277" t="s">
        <v>120</v>
      </c>
    </row>
    <row r="3" spans="1:25" ht="15">
      <c r="A3" s="177">
        <v>1</v>
      </c>
      <c r="B3" s="178" t="s">
        <v>425</v>
      </c>
      <c r="C3" s="179" t="s">
        <v>427</v>
      </c>
      <c r="D3" s="180" t="s">
        <v>74</v>
      </c>
      <c r="E3" s="180">
        <v>3</v>
      </c>
      <c r="F3" s="180" t="s">
        <v>20</v>
      </c>
      <c r="G3" s="179" t="s">
        <v>21</v>
      </c>
      <c r="H3" s="181" t="s">
        <v>428</v>
      </c>
      <c r="I3" s="180" t="s">
        <v>80</v>
      </c>
      <c r="J3" s="180" t="s">
        <v>74</v>
      </c>
      <c r="K3" s="180">
        <v>3</v>
      </c>
      <c r="L3" s="180" t="s">
        <v>20</v>
      </c>
      <c r="M3" s="180" t="s">
        <v>21</v>
      </c>
      <c r="N3" s="189" t="s">
        <v>432</v>
      </c>
      <c r="O3" s="352">
        <v>3983709</v>
      </c>
      <c r="P3" s="180">
        <v>18</v>
      </c>
      <c r="Q3" s="180">
        <v>24200</v>
      </c>
      <c r="R3" s="253">
        <v>25200</v>
      </c>
      <c r="S3" s="349">
        <f>Q3+R3</f>
        <v>49400</v>
      </c>
      <c r="T3" s="182" t="s">
        <v>88</v>
      </c>
      <c r="U3" s="5" t="s">
        <v>115</v>
      </c>
      <c r="V3" s="251" t="s">
        <v>462</v>
      </c>
      <c r="W3" s="275" t="s">
        <v>643</v>
      </c>
      <c r="X3" s="462" t="s">
        <v>764</v>
      </c>
      <c r="Y3" s="269" t="s">
        <v>431</v>
      </c>
    </row>
    <row r="4" spans="1:25" ht="15.75" thickBot="1">
      <c r="A4" s="183">
        <v>2</v>
      </c>
      <c r="B4" s="184" t="s">
        <v>425</v>
      </c>
      <c r="C4" s="185" t="s">
        <v>427</v>
      </c>
      <c r="D4" s="186" t="s">
        <v>74</v>
      </c>
      <c r="E4" s="186">
        <v>3</v>
      </c>
      <c r="F4" s="186" t="s">
        <v>20</v>
      </c>
      <c r="G4" s="185" t="s">
        <v>21</v>
      </c>
      <c r="H4" s="187" t="s">
        <v>428</v>
      </c>
      <c r="I4" s="186" t="s">
        <v>426</v>
      </c>
      <c r="J4" s="186" t="s">
        <v>54</v>
      </c>
      <c r="K4" s="186" t="s">
        <v>434</v>
      </c>
      <c r="L4" s="186" t="s">
        <v>20</v>
      </c>
      <c r="M4" s="186" t="s">
        <v>21</v>
      </c>
      <c r="N4" s="190" t="s">
        <v>433</v>
      </c>
      <c r="O4" s="353">
        <v>72302502</v>
      </c>
      <c r="P4" s="186">
        <v>2.8</v>
      </c>
      <c r="Q4" s="186">
        <v>2100</v>
      </c>
      <c r="R4" s="254">
        <v>2100</v>
      </c>
      <c r="S4" s="350">
        <f>R4+Q4</f>
        <v>4200</v>
      </c>
      <c r="T4" s="188" t="s">
        <v>88</v>
      </c>
      <c r="U4" s="5" t="s">
        <v>115</v>
      </c>
      <c r="V4" s="251" t="s">
        <v>462</v>
      </c>
      <c r="W4" s="275" t="s">
        <v>643</v>
      </c>
      <c r="X4" s="462" t="s">
        <v>764</v>
      </c>
    </row>
    <row r="5" spans="1:25">
      <c r="Q5" s="269">
        <f>SUM(Q3:Q4)</f>
        <v>26300</v>
      </c>
      <c r="R5" s="272">
        <f>SUM(R3:R4)</f>
        <v>27300</v>
      </c>
      <c r="S5" s="272">
        <f>Q5+R5</f>
        <v>53600</v>
      </c>
    </row>
    <row r="6" spans="1:25" ht="15">
      <c r="P6" s="280" t="s">
        <v>607</v>
      </c>
      <c r="Q6" s="280"/>
      <c r="R6" s="203"/>
      <c r="S6" s="203"/>
      <c r="T6" s="280"/>
    </row>
    <row r="7" spans="1:25" ht="15">
      <c r="P7" s="280">
        <v>2</v>
      </c>
      <c r="Q7" s="280">
        <f>Q5</f>
        <v>26300</v>
      </c>
      <c r="R7" s="203">
        <f>R3+R4</f>
        <v>27300</v>
      </c>
      <c r="S7" s="203">
        <f>S5</f>
        <v>53600</v>
      </c>
      <c r="T7" s="204" t="s">
        <v>88</v>
      </c>
    </row>
    <row r="8" spans="1:25">
      <c r="P8" s="280"/>
      <c r="Q8" s="280"/>
      <c r="R8" s="280"/>
      <c r="S8" s="280"/>
      <c r="T8" s="280"/>
    </row>
    <row r="9" spans="1:25">
      <c r="P9" s="280"/>
      <c r="Q9" s="280"/>
      <c r="R9" s="280"/>
      <c r="S9" s="280"/>
      <c r="T9" s="280"/>
    </row>
    <row r="10" spans="1:25" ht="15">
      <c r="P10" s="280"/>
      <c r="Q10" s="280"/>
      <c r="R10" s="203"/>
      <c r="S10" s="203"/>
      <c r="T10" s="204"/>
      <c r="V10" s="272"/>
    </row>
    <row r="11" spans="1:25" ht="15">
      <c r="P11" s="280"/>
      <c r="Q11" s="280"/>
      <c r="R11" s="203"/>
      <c r="S11" s="203"/>
      <c r="T11" s="204"/>
      <c r="U11" s="272"/>
    </row>
    <row r="12" spans="1:25" ht="15">
      <c r="O12" s="272"/>
      <c r="P12" s="280"/>
      <c r="Q12" s="280"/>
      <c r="R12" s="203"/>
      <c r="S12" s="203"/>
      <c r="T12" s="204"/>
    </row>
    <row r="13" spans="1:25">
      <c r="P13" s="280"/>
      <c r="Q13" s="280"/>
      <c r="R13" s="280"/>
      <c r="S13" s="280"/>
      <c r="T13" s="280"/>
      <c r="V13" s="272"/>
    </row>
    <row r="14" spans="1:25">
      <c r="P14" s="280"/>
      <c r="Q14" s="280"/>
      <c r="R14" s="205"/>
      <c r="S14" s="205"/>
      <c r="T14" s="280"/>
      <c r="V14" s="272"/>
    </row>
    <row r="15" spans="1:25">
      <c r="P15" s="280"/>
      <c r="Q15" s="280"/>
      <c r="R15" s="205"/>
      <c r="S15" s="205"/>
      <c r="T15" s="280"/>
    </row>
    <row r="16" spans="1:25">
      <c r="P16" s="280"/>
      <c r="Q16" s="280"/>
      <c r="R16" s="280"/>
      <c r="S16" s="280"/>
      <c r="T16" s="280"/>
    </row>
    <row r="17" spans="16:22">
      <c r="P17" s="280"/>
      <c r="Q17" s="280"/>
      <c r="R17" s="280"/>
      <c r="S17" s="280"/>
      <c r="T17" s="280"/>
    </row>
    <row r="18" spans="16:22">
      <c r="P18" s="280"/>
      <c r="Q18" s="280"/>
      <c r="R18" s="280"/>
      <c r="S18" s="280"/>
      <c r="T18" s="280"/>
    </row>
    <row r="19" spans="16:22">
      <c r="P19" s="280"/>
      <c r="Q19" s="280"/>
      <c r="R19" s="280"/>
      <c r="S19" s="280"/>
      <c r="T19" s="280"/>
    </row>
    <row r="21" spans="16:22">
      <c r="R21" s="272"/>
      <c r="S21" s="272"/>
    </row>
    <row r="22" spans="16:22">
      <c r="R22" s="272"/>
      <c r="S22" s="272"/>
      <c r="T22" s="280"/>
    </row>
    <row r="23" spans="16:22">
      <c r="R23" s="272"/>
      <c r="S23" s="272"/>
      <c r="T23" s="280"/>
    </row>
    <row r="24" spans="16:22">
      <c r="R24" s="272"/>
      <c r="S24" s="272"/>
      <c r="T24" s="280"/>
    </row>
    <row r="25" spans="16:22">
      <c r="R25" s="272"/>
      <c r="S25" s="272"/>
      <c r="T25" s="280"/>
    </row>
    <row r="26" spans="16:22">
      <c r="R26" s="272"/>
      <c r="S26" s="272"/>
      <c r="T26" s="280"/>
      <c r="U26" s="272"/>
      <c r="V26" s="272"/>
    </row>
    <row r="27" spans="16:22">
      <c r="R27" s="272"/>
      <c r="S27" s="272"/>
      <c r="T27" s="280"/>
    </row>
    <row r="28" spans="16:22">
      <c r="R28" s="272"/>
      <c r="S28" s="272"/>
      <c r="T28" s="280"/>
    </row>
    <row r="29" spans="16:22">
      <c r="R29" s="272"/>
      <c r="S29" s="272"/>
      <c r="T29" s="280"/>
    </row>
    <row r="30" spans="16:22">
      <c r="R30" s="272"/>
      <c r="S30" s="272"/>
      <c r="T30" s="280"/>
    </row>
    <row r="31" spans="16:22">
      <c r="R31" s="272"/>
      <c r="S31" s="272"/>
      <c r="T31" s="280"/>
    </row>
    <row r="32" spans="16:22">
      <c r="R32" s="272"/>
      <c r="S32" s="272"/>
      <c r="T32" s="280"/>
    </row>
    <row r="33" spans="18:20">
      <c r="R33" s="272"/>
      <c r="S33" s="272"/>
      <c r="T33" s="280"/>
    </row>
    <row r="34" spans="18:20">
      <c r="R34" s="272"/>
      <c r="S34" s="272"/>
      <c r="T34" s="280"/>
    </row>
    <row r="35" spans="18:20">
      <c r="R35" s="272"/>
      <c r="S35" s="272"/>
      <c r="T35" s="280"/>
    </row>
    <row r="36" spans="18:20">
      <c r="R36" s="272"/>
      <c r="S36" s="272"/>
      <c r="T36" s="280"/>
    </row>
    <row r="37" spans="18:20">
      <c r="R37" s="272"/>
      <c r="S37" s="272"/>
      <c r="T37" s="280"/>
    </row>
    <row r="38" spans="18:20">
      <c r="R38" s="272"/>
      <c r="S38" s="272"/>
      <c r="T38" s="280"/>
    </row>
    <row r="39" spans="18:20">
      <c r="R39" s="272"/>
      <c r="S39" s="272"/>
      <c r="T39" s="280"/>
    </row>
    <row r="40" spans="18:20">
      <c r="R40" s="272"/>
      <c r="S40" s="272"/>
    </row>
    <row r="41" spans="18:20">
      <c r="R41" s="272"/>
      <c r="S41" s="272"/>
    </row>
    <row r="42" spans="18:20">
      <c r="R42" s="272"/>
      <c r="S42" s="272"/>
    </row>
    <row r="45" spans="18:20">
      <c r="R45" s="272"/>
      <c r="S45" s="272"/>
    </row>
    <row r="46" spans="18:20">
      <c r="R46" s="272"/>
      <c r="S46" s="272"/>
    </row>
    <row r="58" spans="16:18">
      <c r="P58" s="269" t="s">
        <v>598</v>
      </c>
      <c r="R58" s="269">
        <v>6267</v>
      </c>
    </row>
    <row r="59" spans="16:18">
      <c r="P59" s="269" t="s">
        <v>599</v>
      </c>
      <c r="R59" s="269">
        <v>5227</v>
      </c>
    </row>
    <row r="60" spans="16:18">
      <c r="P60" s="269" t="s">
        <v>600</v>
      </c>
      <c r="R60" s="269">
        <v>7521</v>
      </c>
    </row>
    <row r="61" spans="16:18">
      <c r="P61" s="269" t="s">
        <v>601</v>
      </c>
    </row>
    <row r="62" spans="16:18">
      <c r="P62" s="269" t="s">
        <v>602</v>
      </c>
      <c r="R62" s="269">
        <v>6677</v>
      </c>
    </row>
    <row r="63" spans="16:18">
      <c r="P63" s="269" t="s">
        <v>603</v>
      </c>
    </row>
    <row r="64" spans="16:18">
      <c r="P64" s="269" t="s">
        <v>604</v>
      </c>
      <c r="R64" s="269">
        <v>9360</v>
      </c>
    </row>
    <row r="65" spans="18:21">
      <c r="R65" s="269">
        <f>SUM(R58:R64)</f>
        <v>35052</v>
      </c>
      <c r="T65" s="269">
        <f>R65/5</f>
        <v>7010.4</v>
      </c>
      <c r="U65" s="269">
        <f>T65*12</f>
        <v>84124.799999999988</v>
      </c>
    </row>
  </sheetData>
  <mergeCells count="5">
    <mergeCell ref="A1:A2"/>
    <mergeCell ref="B1:D1"/>
    <mergeCell ref="E1:I1"/>
    <mergeCell ref="J1:M1"/>
    <mergeCell ref="N1:T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opLeftCell="C1" workbookViewId="0">
      <selection activeCell="I2" sqref="I2:T4"/>
    </sheetView>
  </sheetViews>
  <sheetFormatPr defaultRowHeight="14.25"/>
  <cols>
    <col min="1" max="1" width="3" style="269" bestFit="1" customWidth="1"/>
    <col min="2" max="2" width="30.125" style="269" customWidth="1"/>
    <col min="3" max="3" width="11.5" style="269" customWidth="1"/>
    <col min="4" max="4" width="16.125" style="269" customWidth="1"/>
    <col min="5" max="5" width="3.875" style="269" customWidth="1"/>
    <col min="6" max="6" width="7.375" style="269" customWidth="1"/>
    <col min="7" max="7" width="9" style="269"/>
    <col min="8" max="8" width="23.875" style="269" customWidth="1"/>
    <col min="9" max="9" width="35.375" style="269" customWidth="1"/>
    <col min="10" max="10" width="14.875" style="269" customWidth="1"/>
    <col min="11" max="11" width="8.125" style="269" customWidth="1"/>
    <col min="12" max="12" width="6.875" style="269" customWidth="1"/>
    <col min="13" max="13" width="10.5" style="269" customWidth="1"/>
    <col min="14" max="14" width="19.125" style="269" customWidth="1"/>
    <col min="15" max="15" width="12.25" style="269" customWidth="1"/>
    <col min="16" max="20" width="9" style="269"/>
    <col min="21" max="21" width="11" style="269" customWidth="1"/>
    <col min="22" max="22" width="21.875" style="269" customWidth="1"/>
    <col min="23" max="23" width="17.875" style="269" customWidth="1"/>
    <col min="24" max="24" width="13.75" style="269" customWidth="1"/>
    <col min="25" max="25" width="16.25" style="269" hidden="1" customWidth="1"/>
    <col min="26" max="16384" width="9" style="269"/>
  </cols>
  <sheetData>
    <row r="1" spans="1:25" s="270" customFormat="1">
      <c r="A1" s="551" t="s">
        <v>16</v>
      </c>
      <c r="B1" s="553" t="s">
        <v>15</v>
      </c>
      <c r="C1" s="554"/>
      <c r="D1" s="555"/>
      <c r="E1" s="553" t="s">
        <v>14</v>
      </c>
      <c r="F1" s="554"/>
      <c r="G1" s="554"/>
      <c r="H1" s="554"/>
      <c r="I1" s="555"/>
      <c r="J1" s="553" t="s">
        <v>13</v>
      </c>
      <c r="K1" s="554"/>
      <c r="L1" s="554"/>
      <c r="M1" s="555"/>
      <c r="N1" s="553" t="s">
        <v>12</v>
      </c>
      <c r="O1" s="554"/>
      <c r="P1" s="554"/>
      <c r="Q1" s="554"/>
      <c r="R1" s="554"/>
      <c r="S1" s="554"/>
      <c r="T1" s="555"/>
    </row>
    <row r="2" spans="1:25" s="270" customFormat="1" ht="59.25" customHeight="1">
      <c r="A2" s="552"/>
      <c r="B2" s="288" t="s">
        <v>11</v>
      </c>
      <c r="C2" s="271" t="s">
        <v>10</v>
      </c>
      <c r="D2" s="288" t="s">
        <v>6</v>
      </c>
      <c r="E2" s="288" t="s">
        <v>5</v>
      </c>
      <c r="F2" s="288" t="s">
        <v>4</v>
      </c>
      <c r="G2" s="288" t="s">
        <v>9</v>
      </c>
      <c r="H2" s="288" t="s">
        <v>8</v>
      </c>
      <c r="I2" s="288" t="s">
        <v>7</v>
      </c>
      <c r="J2" s="271" t="s">
        <v>6</v>
      </c>
      <c r="K2" s="271" t="s">
        <v>5</v>
      </c>
      <c r="L2" s="271" t="s">
        <v>4</v>
      </c>
      <c r="M2" s="271" t="s">
        <v>3</v>
      </c>
      <c r="N2" s="288" t="s">
        <v>17</v>
      </c>
      <c r="O2" s="288" t="s">
        <v>2</v>
      </c>
      <c r="P2" s="288" t="s">
        <v>1</v>
      </c>
      <c r="Q2" s="348" t="s">
        <v>461</v>
      </c>
      <c r="R2" s="348" t="s">
        <v>684</v>
      </c>
      <c r="S2" s="348" t="s">
        <v>683</v>
      </c>
      <c r="T2" s="288" t="s">
        <v>0</v>
      </c>
      <c r="U2" s="276" t="s">
        <v>114</v>
      </c>
      <c r="V2" s="276" t="s">
        <v>117</v>
      </c>
      <c r="W2" s="277" t="s">
        <v>118</v>
      </c>
      <c r="X2" s="277" t="s">
        <v>537</v>
      </c>
      <c r="Y2" s="277" t="s">
        <v>120</v>
      </c>
    </row>
    <row r="3" spans="1:25">
      <c r="A3" s="273">
        <v>1</v>
      </c>
      <c r="B3" s="273" t="s">
        <v>135</v>
      </c>
      <c r="C3" s="81" t="s">
        <v>174</v>
      </c>
      <c r="D3" s="273" t="s">
        <v>144</v>
      </c>
      <c r="E3" s="273">
        <v>1</v>
      </c>
      <c r="F3" s="273" t="s">
        <v>20</v>
      </c>
      <c r="G3" s="273" t="s">
        <v>21</v>
      </c>
      <c r="H3" s="99" t="s">
        <v>285</v>
      </c>
      <c r="I3" s="279" t="s">
        <v>145</v>
      </c>
      <c r="J3" s="273" t="s">
        <v>146</v>
      </c>
      <c r="K3" s="273">
        <v>1</v>
      </c>
      <c r="L3" s="273" t="s">
        <v>20</v>
      </c>
      <c r="M3" s="273" t="s">
        <v>21</v>
      </c>
      <c r="N3" s="274" t="s">
        <v>256</v>
      </c>
      <c r="O3" s="274" t="s">
        <v>175</v>
      </c>
      <c r="P3" s="273">
        <v>50</v>
      </c>
      <c r="Q3" s="285">
        <v>116000</v>
      </c>
      <c r="R3" s="285">
        <v>116000</v>
      </c>
      <c r="S3" s="285">
        <f>Q3+R3</f>
        <v>232000</v>
      </c>
      <c r="T3" s="273" t="s">
        <v>160</v>
      </c>
      <c r="U3" s="5" t="s">
        <v>115</v>
      </c>
      <c r="V3" s="251" t="s">
        <v>462</v>
      </c>
      <c r="W3" s="275" t="s">
        <v>643</v>
      </c>
      <c r="X3" s="462" t="s">
        <v>764</v>
      </c>
      <c r="Y3" s="269" t="s">
        <v>431</v>
      </c>
    </row>
    <row r="4" spans="1:25">
      <c r="A4" s="273">
        <v>2</v>
      </c>
      <c r="B4" s="273" t="s">
        <v>135</v>
      </c>
      <c r="C4" s="81" t="s">
        <v>174</v>
      </c>
      <c r="D4" s="273" t="s">
        <v>144</v>
      </c>
      <c r="E4" s="273">
        <v>1</v>
      </c>
      <c r="F4" s="273" t="s">
        <v>20</v>
      </c>
      <c r="G4" s="273" t="s">
        <v>21</v>
      </c>
      <c r="H4" s="99" t="s">
        <v>285</v>
      </c>
      <c r="I4" s="279" t="s">
        <v>449</v>
      </c>
      <c r="J4" s="273" t="s">
        <v>450</v>
      </c>
      <c r="K4" s="273">
        <v>1</v>
      </c>
      <c r="L4" s="273" t="s">
        <v>20</v>
      </c>
      <c r="M4" s="273" t="s">
        <v>21</v>
      </c>
      <c r="N4" s="274" t="s">
        <v>451</v>
      </c>
      <c r="O4" s="274" t="s">
        <v>765</v>
      </c>
      <c r="P4" s="273">
        <v>100</v>
      </c>
      <c r="Q4" s="285">
        <v>10000</v>
      </c>
      <c r="R4" s="285">
        <v>10000</v>
      </c>
      <c r="S4" s="285">
        <f>Q4+R4</f>
        <v>20000</v>
      </c>
      <c r="T4" s="273" t="s">
        <v>87</v>
      </c>
      <c r="U4" s="5" t="s">
        <v>115</v>
      </c>
      <c r="V4" s="251" t="s">
        <v>766</v>
      </c>
      <c r="W4" s="275" t="s">
        <v>643</v>
      </c>
      <c r="X4" s="462" t="s">
        <v>764</v>
      </c>
    </row>
    <row r="5" spans="1:25">
      <c r="Q5" s="272">
        <f>SUM(Q3:Q4)</f>
        <v>126000</v>
      </c>
      <c r="R5" s="272"/>
      <c r="S5" s="272"/>
    </row>
    <row r="6" spans="1:25" ht="15">
      <c r="P6" s="280"/>
      <c r="Q6" s="203"/>
      <c r="R6" s="203"/>
      <c r="S6" s="203"/>
      <c r="T6" s="280"/>
    </row>
    <row r="7" spans="1:25" ht="15">
      <c r="P7" s="280" t="s">
        <v>512</v>
      </c>
      <c r="Q7" s="203"/>
      <c r="R7" s="203"/>
      <c r="S7" s="203"/>
      <c r="T7" s="204"/>
    </row>
    <row r="8" spans="1:25" ht="15">
      <c r="P8" s="280">
        <v>2</v>
      </c>
      <c r="Q8" s="203">
        <f>Q3</f>
        <v>116000</v>
      </c>
      <c r="R8" s="203">
        <f>R3</f>
        <v>116000</v>
      </c>
      <c r="S8" s="203">
        <f>S3</f>
        <v>232000</v>
      </c>
      <c r="T8" s="204" t="s">
        <v>160</v>
      </c>
    </row>
    <row r="9" spans="1:25">
      <c r="P9" s="280"/>
      <c r="Q9" s="280">
        <v>36000</v>
      </c>
      <c r="R9" s="280">
        <v>36000</v>
      </c>
      <c r="S9" s="280">
        <f>Q9+R9</f>
        <v>72000</v>
      </c>
      <c r="T9" s="280" t="s">
        <v>408</v>
      </c>
    </row>
    <row r="10" spans="1:25">
      <c r="P10" s="280"/>
      <c r="Q10" s="280">
        <v>80000</v>
      </c>
      <c r="R10" s="280">
        <v>80000</v>
      </c>
      <c r="S10" s="280">
        <f>Q10+R10</f>
        <v>160000</v>
      </c>
      <c r="T10" s="280" t="s">
        <v>440</v>
      </c>
      <c r="V10" s="272"/>
    </row>
    <row r="11" spans="1:25" ht="15">
      <c r="P11" s="280"/>
      <c r="Q11" s="203">
        <f>Q4</f>
        <v>10000</v>
      </c>
      <c r="R11" s="203">
        <f t="shared" ref="R11:S11" si="0">R4</f>
        <v>10000</v>
      </c>
      <c r="S11" s="203">
        <f t="shared" si="0"/>
        <v>20000</v>
      </c>
      <c r="T11" s="204" t="s">
        <v>87</v>
      </c>
      <c r="U11" s="272"/>
      <c r="V11" s="269" t="s">
        <v>705</v>
      </c>
    </row>
    <row r="12" spans="1:25" ht="15">
      <c r="O12" s="272"/>
      <c r="P12" s="280"/>
      <c r="Q12" s="203"/>
      <c r="R12" s="203"/>
      <c r="S12" s="203"/>
      <c r="T12" s="204"/>
    </row>
    <row r="13" spans="1:25">
      <c r="P13" s="280"/>
      <c r="Q13" s="280"/>
      <c r="R13" s="280"/>
      <c r="S13" s="280"/>
      <c r="T13" s="280"/>
      <c r="V13" s="272"/>
    </row>
    <row r="14" spans="1:25">
      <c r="P14" s="280"/>
      <c r="Q14" s="205"/>
      <c r="R14" s="205"/>
      <c r="S14" s="205"/>
      <c r="T14" s="280"/>
      <c r="V14" s="272"/>
    </row>
    <row r="15" spans="1:25">
      <c r="P15" s="280"/>
      <c r="Q15" s="205"/>
      <c r="R15" s="205"/>
      <c r="S15" s="205"/>
      <c r="T15" s="280"/>
    </row>
    <row r="16" spans="1:25">
      <c r="P16" s="280"/>
      <c r="Q16" s="280"/>
      <c r="R16" s="280"/>
      <c r="S16" s="280"/>
      <c r="T16" s="280"/>
    </row>
    <row r="17" spans="16:22">
      <c r="P17" s="280"/>
      <c r="Q17" s="205"/>
      <c r="R17" s="280"/>
      <c r="S17" s="280"/>
      <c r="T17" s="280"/>
    </row>
    <row r="18" spans="16:22">
      <c r="P18" s="280"/>
      <c r="Q18" s="280"/>
      <c r="R18" s="280"/>
      <c r="S18" s="280"/>
      <c r="T18" s="280"/>
    </row>
    <row r="19" spans="16:22">
      <c r="P19" s="280"/>
      <c r="Q19" s="280"/>
      <c r="R19" s="280"/>
      <c r="S19" s="280"/>
      <c r="T19" s="280"/>
    </row>
    <row r="21" spans="16:22">
      <c r="Q21" s="272"/>
      <c r="R21" s="272"/>
      <c r="S21" s="272"/>
    </row>
    <row r="22" spans="16:22">
      <c r="Q22" s="272"/>
      <c r="R22" s="272"/>
      <c r="S22" s="272"/>
      <c r="T22" s="280"/>
    </row>
    <row r="23" spans="16:22">
      <c r="Q23" s="272"/>
      <c r="R23" s="272"/>
      <c r="S23" s="272"/>
      <c r="T23" s="280"/>
    </row>
    <row r="24" spans="16:22">
      <c r="Q24" s="272"/>
      <c r="R24" s="272"/>
      <c r="S24" s="272"/>
      <c r="T24" s="280"/>
    </row>
    <row r="25" spans="16:22">
      <c r="Q25" s="272"/>
      <c r="R25" s="272"/>
      <c r="S25" s="272"/>
      <c r="T25" s="280"/>
    </row>
    <row r="26" spans="16:22">
      <c r="Q26" s="272"/>
      <c r="R26" s="272"/>
      <c r="S26" s="272"/>
      <c r="T26" s="280"/>
      <c r="U26" s="272"/>
      <c r="V26" s="272"/>
    </row>
    <row r="27" spans="16:22">
      <c r="Q27" s="272"/>
      <c r="R27" s="272"/>
      <c r="S27" s="272"/>
      <c r="T27" s="280"/>
    </row>
    <row r="28" spans="16:22">
      <c r="Q28" s="272"/>
      <c r="R28" s="272"/>
      <c r="S28" s="272"/>
      <c r="T28" s="280"/>
    </row>
    <row r="29" spans="16:22">
      <c r="Q29" s="272"/>
      <c r="R29" s="272"/>
      <c r="S29" s="272"/>
      <c r="T29" s="280"/>
    </row>
    <row r="30" spans="16:22">
      <c r="Q30" s="272"/>
      <c r="R30" s="272"/>
      <c r="S30" s="272"/>
      <c r="T30" s="280"/>
    </row>
    <row r="31" spans="16:22">
      <c r="Q31" s="272"/>
      <c r="R31" s="272"/>
      <c r="S31" s="272"/>
      <c r="T31" s="280"/>
    </row>
    <row r="32" spans="16:22">
      <c r="Q32" s="272"/>
      <c r="R32" s="272"/>
      <c r="S32" s="272"/>
      <c r="T32" s="280"/>
    </row>
    <row r="33" spans="17:20">
      <c r="Q33" s="272"/>
      <c r="R33" s="272"/>
      <c r="S33" s="272"/>
      <c r="T33" s="280"/>
    </row>
    <row r="34" spans="17:20">
      <c r="Q34" s="272"/>
      <c r="R34" s="272"/>
      <c r="S34" s="272"/>
      <c r="T34" s="280"/>
    </row>
    <row r="35" spans="17:20">
      <c r="Q35" s="272"/>
      <c r="R35" s="272"/>
      <c r="S35" s="272"/>
      <c r="T35" s="280"/>
    </row>
    <row r="36" spans="17:20">
      <c r="Q36" s="272"/>
      <c r="R36" s="272"/>
      <c r="S36" s="272"/>
      <c r="T36" s="280"/>
    </row>
    <row r="37" spans="17:20">
      <c r="Q37" s="272"/>
      <c r="R37" s="272"/>
      <c r="S37" s="272"/>
      <c r="T37" s="280"/>
    </row>
    <row r="38" spans="17:20">
      <c r="Q38" s="272"/>
      <c r="R38" s="272"/>
      <c r="S38" s="272"/>
      <c r="T38" s="280"/>
    </row>
    <row r="39" spans="17:20">
      <c r="Q39" s="272"/>
      <c r="R39" s="272"/>
      <c r="S39" s="272"/>
      <c r="T39" s="280"/>
    </row>
    <row r="40" spans="17:20">
      <c r="Q40" s="272"/>
      <c r="R40" s="272"/>
      <c r="S40" s="272"/>
    </row>
    <row r="41" spans="17:20">
      <c r="Q41" s="272"/>
      <c r="R41" s="272"/>
      <c r="S41" s="272"/>
    </row>
    <row r="42" spans="17:20">
      <c r="Q42" s="272"/>
      <c r="R42" s="272"/>
      <c r="S42" s="272"/>
    </row>
    <row r="45" spans="17:20">
      <c r="Q45" s="272"/>
      <c r="R45" s="272"/>
      <c r="S45" s="272"/>
    </row>
    <row r="46" spans="17:20">
      <c r="Q46" s="272"/>
      <c r="R46" s="272"/>
      <c r="S46" s="272"/>
    </row>
    <row r="58" spans="16:17">
      <c r="P58" s="269" t="s">
        <v>598</v>
      </c>
      <c r="Q58" s="269">
        <v>6267</v>
      </c>
    </row>
    <row r="59" spans="16:17">
      <c r="P59" s="269" t="s">
        <v>599</v>
      </c>
      <c r="Q59" s="269">
        <v>5227</v>
      </c>
    </row>
    <row r="60" spans="16:17">
      <c r="P60" s="269" t="s">
        <v>600</v>
      </c>
      <c r="Q60" s="269">
        <v>7521</v>
      </c>
    </row>
    <row r="61" spans="16:17">
      <c r="P61" s="269" t="s">
        <v>601</v>
      </c>
    </row>
    <row r="62" spans="16:17">
      <c r="P62" s="269" t="s">
        <v>602</v>
      </c>
      <c r="Q62" s="269">
        <v>6677</v>
      </c>
    </row>
    <row r="63" spans="16:17">
      <c r="P63" s="269" t="s">
        <v>603</v>
      </c>
    </row>
    <row r="64" spans="16:17">
      <c r="P64" s="269" t="s">
        <v>604</v>
      </c>
      <c r="Q64" s="269">
        <v>9360</v>
      </c>
    </row>
    <row r="65" spans="17:21">
      <c r="Q65" s="269">
        <f>SUM(Q58:Q64)</f>
        <v>35052</v>
      </c>
      <c r="T65" s="269">
        <f>Q65/5</f>
        <v>7010.4</v>
      </c>
      <c r="U65" s="269">
        <f>T65*12</f>
        <v>84124.799999999988</v>
      </c>
    </row>
  </sheetData>
  <mergeCells count="5">
    <mergeCell ref="A1:A2"/>
    <mergeCell ref="B1:D1"/>
    <mergeCell ref="E1:I1"/>
    <mergeCell ref="J1:M1"/>
    <mergeCell ref="N1:T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8"/>
  <sheetViews>
    <sheetView workbookViewId="0">
      <selection activeCell="X48" sqref="X48"/>
    </sheetView>
  </sheetViews>
  <sheetFormatPr defaultRowHeight="14.25"/>
  <cols>
    <col min="1" max="1" width="16.125" customWidth="1"/>
    <col min="2" max="2" width="9.75" customWidth="1"/>
    <col min="3" max="3" width="13.75" style="269" customWidth="1"/>
    <col min="4" max="4" width="16.625" customWidth="1"/>
    <col min="5" max="5" width="17" customWidth="1"/>
    <col min="6" max="6" width="16.25" customWidth="1"/>
    <col min="7" max="7" width="11.625" customWidth="1"/>
    <col min="8" max="8" width="12.375" customWidth="1"/>
    <col min="10" max="10" width="12.25" customWidth="1"/>
    <col min="11" max="11" width="15.375" customWidth="1"/>
    <col min="12" max="12" width="10.25" customWidth="1"/>
    <col min="14" max="14" width="16.75" customWidth="1"/>
    <col min="15" max="15" width="14" customWidth="1"/>
    <col min="16" max="16" width="15.25" customWidth="1"/>
    <col min="17" max="17" width="19" customWidth="1"/>
    <col min="18" max="18" width="18.625" customWidth="1"/>
    <col min="19" max="19" width="17.625" customWidth="1"/>
    <col min="20" max="21" width="11.375" customWidth="1"/>
    <col min="24" max="24" width="11.375" customWidth="1"/>
    <col min="26" max="26" width="24.875" customWidth="1"/>
    <col min="27" max="27" width="21.5" customWidth="1"/>
    <col min="28" max="28" width="13.25" customWidth="1"/>
  </cols>
  <sheetData>
    <row r="2" spans="1:29" ht="15" thickBot="1">
      <c r="C2" s="572" t="s">
        <v>744</v>
      </c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</row>
    <row r="3" spans="1:29" ht="72" customHeight="1">
      <c r="B3" s="573" t="s">
        <v>745</v>
      </c>
      <c r="C3" s="567" t="s">
        <v>737</v>
      </c>
      <c r="D3" s="568"/>
      <c r="E3" s="568"/>
      <c r="F3" s="568"/>
      <c r="G3" s="568"/>
      <c r="H3" s="568"/>
      <c r="I3" s="569"/>
      <c r="J3" s="422" t="s">
        <v>741</v>
      </c>
      <c r="K3" s="373" t="s">
        <v>741</v>
      </c>
      <c r="L3" s="365" t="s">
        <v>741</v>
      </c>
      <c r="M3" s="368" t="s">
        <v>741</v>
      </c>
      <c r="N3" s="419" t="s">
        <v>742</v>
      </c>
      <c r="O3" s="570" t="s">
        <v>743</v>
      </c>
      <c r="P3" s="557" t="s">
        <v>746</v>
      </c>
      <c r="Q3" s="557" t="s">
        <v>747</v>
      </c>
      <c r="R3" s="559" t="s">
        <v>748</v>
      </c>
      <c r="S3" s="561" t="s">
        <v>749</v>
      </c>
      <c r="T3" s="563" t="s">
        <v>461</v>
      </c>
      <c r="U3" s="565" t="s">
        <v>684</v>
      </c>
      <c r="Z3" s="556" t="s">
        <v>18</v>
      </c>
      <c r="AA3" s="556"/>
    </row>
    <row r="4" spans="1:29" ht="28.5" customHeight="1" thickBot="1">
      <c r="B4" s="574"/>
      <c r="C4" s="399" t="s">
        <v>729</v>
      </c>
      <c r="D4" s="400" t="s">
        <v>730</v>
      </c>
      <c r="E4" s="400" t="s">
        <v>731</v>
      </c>
      <c r="F4" s="400" t="s">
        <v>732</v>
      </c>
      <c r="G4" s="400" t="s">
        <v>733</v>
      </c>
      <c r="H4" s="400" t="s">
        <v>734</v>
      </c>
      <c r="I4" s="426" t="s">
        <v>735</v>
      </c>
      <c r="J4" s="423" t="s">
        <v>736</v>
      </c>
      <c r="K4" s="402" t="s">
        <v>738</v>
      </c>
      <c r="L4" s="400" t="s">
        <v>739</v>
      </c>
      <c r="M4" s="401" t="s">
        <v>740</v>
      </c>
      <c r="N4" s="420" t="s">
        <v>735</v>
      </c>
      <c r="O4" s="571"/>
      <c r="P4" s="558"/>
      <c r="Q4" s="558"/>
      <c r="R4" s="560"/>
      <c r="S4" s="562"/>
      <c r="T4" s="564"/>
      <c r="U4" s="566"/>
      <c r="Z4" s="547" t="s">
        <v>461</v>
      </c>
      <c r="AA4" s="547" t="s">
        <v>684</v>
      </c>
    </row>
    <row r="5" spans="1:29" s="269" customFormat="1" ht="15">
      <c r="B5" s="403" t="s">
        <v>386</v>
      </c>
      <c r="C5" s="395"/>
      <c r="D5" s="396"/>
      <c r="E5" s="396"/>
      <c r="F5" s="396"/>
      <c r="G5" s="396"/>
      <c r="H5" s="396"/>
      <c r="I5" s="427">
        <f>SUM(C5:H5)</f>
        <v>0</v>
      </c>
      <c r="J5" s="424"/>
      <c r="K5" s="379"/>
      <c r="L5" s="380"/>
      <c r="M5" s="381">
        <f>'GMKg MOSiR część 5'!S26</f>
        <v>3012108</v>
      </c>
      <c r="N5" s="398">
        <f>M5+L5+K5+J5</f>
        <v>3012108</v>
      </c>
      <c r="O5" s="397">
        <f>N5+I5</f>
        <v>3012108</v>
      </c>
      <c r="P5" s="403"/>
      <c r="Q5" s="403"/>
      <c r="R5" s="434"/>
      <c r="S5" s="390">
        <f>R5+Q5+P5++O5</f>
        <v>3012108</v>
      </c>
      <c r="T5" s="363">
        <f>'GMKg MOSiR część 5'!Q26</f>
        <v>1506054</v>
      </c>
      <c r="U5" s="444">
        <f>'GMKg MOSiR część 5'!R26</f>
        <v>1506054</v>
      </c>
      <c r="V5" s="456" t="s">
        <v>386</v>
      </c>
      <c r="W5" s="272">
        <f t="shared" ref="W5:W6" si="0">T5+U5</f>
        <v>3012108</v>
      </c>
      <c r="X5" s="272">
        <f>W5-S5</f>
        <v>0</v>
      </c>
      <c r="Y5" s="456" t="s">
        <v>386</v>
      </c>
      <c r="Z5" s="272">
        <f>T5</f>
        <v>1506054</v>
      </c>
      <c r="AA5" s="272">
        <f>U5</f>
        <v>1506054</v>
      </c>
      <c r="AB5" s="272">
        <f>AA5+Z5</f>
        <v>3012108</v>
      </c>
    </row>
    <row r="6" spans="1:29" s="269" customFormat="1" ht="15">
      <c r="B6" s="386" t="s">
        <v>88</v>
      </c>
      <c r="C6" s="390">
        <f>'Gmina Miasto Kołobrzeg_część 1'!S80</f>
        <v>335350</v>
      </c>
      <c r="D6" s="384">
        <f>'Gmina Miasto Kołobrzeg część 2 '!S4+'Gmina Miasto Kołobrzeg część 2 '!S5+'Gmina Miasto Kołobrzeg część 2 '!S7+'Gmina Miasto Kołobrzeg część 2 '!S8</f>
        <v>216000</v>
      </c>
      <c r="E6" s="384">
        <f>'Gmina Miasto Kołobrzeg część 2 '!S10+'Gmina Miasto Kołobrzeg część 2 '!S11+'Gmina Miasto Kołobrzeg część 2 '!S12+'Gmina Miasto Kołobrzeg część 2 '!S13+'Gmina Miasto Kołobrzeg część 2 '!S14+'Gmina Miasto Kołobrzeg część 2 '!S15</f>
        <v>113200</v>
      </c>
      <c r="F6" s="384">
        <f>'Gmina Miasto Kołobrzeg część 2 '!S16+'Gmina Miasto Kołobrzeg część 2 '!S17+'Gmina Miasto Kołobrzeg część 2 '!S18+'Gmina Miasto Kołobrzeg część 2 '!S19+'Gmina Miasto Kołobrzeg część 2 '!S20</f>
        <v>22280</v>
      </c>
      <c r="G6" s="384">
        <f>'Gmina Miasto Kołobrzeg część 2 '!S21+'Gmina Miasto Kołobrzeg część 2 '!S22+'Gmina Miasto Kołobrzeg część 2 '!S23+'Gmina Miasto Kołobrzeg część 2 '!S24+'Gmina Miasto Kołobrzeg część 2 '!S25+'Gmina Miasto Kołobrzeg część 2 '!S26</f>
        <v>9400</v>
      </c>
      <c r="H6" s="384">
        <f>'Gmina Miasto Kołobrzeg część 2 '!S27</f>
        <v>30000</v>
      </c>
      <c r="I6" s="428">
        <f>SUM(C6:H6)</f>
        <v>726230</v>
      </c>
      <c r="J6" s="416">
        <f>'Gmina Miasto Kołobrzeg część 4'!S12+'Gmina Miasto Kołobrzeg część 4'!S13+'Gmina Miasto Kołobrzeg część 4'!S14+'Gmina Miasto Kołobrzeg część 4'!S15+'Gmina Miasto Kołobrzeg część 4'!S16+'Gmina Miasto Kołobrzeg część 4'!S18+'Gmina Miasto Kołobrzeg część 4'!S20+'Gmina Miasto Kołobrzeg część 4'!S22+'Gmina Miasto Kołobrzeg część 4'!S23</f>
        <v>449156</v>
      </c>
      <c r="K6" s="387">
        <f>'Gmina Miasto Kołobrzeg część 4'!S3+'Gmina Miasto Kołobrzeg część 4'!S4+'Gmina Miasto Kołobrzeg część 4'!S5+'Gmina Miasto Kołobrzeg część 4'!S6+'Gmina Miasto Kołobrzeg część 4'!S7+'Gmina Miasto Kołobrzeg część 4'!S8+'Gmina Miasto Kołobrzeg część 4'!S10</f>
        <v>293891</v>
      </c>
      <c r="L6" s="384">
        <f>'GMKg MOPS część 3'!S11</f>
        <v>132050</v>
      </c>
      <c r="M6" s="389">
        <f>'GMKg MOSiR część 5'!S22</f>
        <v>88130</v>
      </c>
      <c r="N6" s="393">
        <f>M6+L6+K6+J6</f>
        <v>963227</v>
      </c>
      <c r="O6" s="382">
        <f>N6+I6</f>
        <v>1689457</v>
      </c>
      <c r="P6" s="382">
        <f>'Biblioteka Miejska część 7'!S7</f>
        <v>53600</v>
      </c>
      <c r="Q6" s="382"/>
      <c r="R6" s="435">
        <f>'Komunikacja Miejska część 6'!S23</f>
        <v>94000</v>
      </c>
      <c r="S6" s="390">
        <f>R6+Q6+P6++O6</f>
        <v>1837057</v>
      </c>
      <c r="T6" s="363">
        <f>'Gmina Miasto Kołobrzeg_część 1'!Q80+'Gmina Miasto Kołobrzeg część 2 '!Q32+'GMKg MOPS część 3'!Q11+'Gmina Miasto Kołobrzeg część 4'!Q32+'GMKg MOSiR część 5'!Q22+'Komunikacja Miejska część 6'!Q23+'Biblioteka Miejska część 7'!Q7+'RCK część 8'!Q15</f>
        <v>906592</v>
      </c>
      <c r="U6" s="444">
        <f>'Gmina Miasto Kołobrzeg_część 1'!R80+'Gmina Miasto Kołobrzeg część 2 '!R32+'GMKg MOPS część 3'!R11+'Gmina Miasto Kołobrzeg część 4'!R32+'GMKg MOSiR część 5'!R22+'Komunikacja Miejska część 6'!R23+'Biblioteka Miejska część 7'!R7+'RCK część 8'!Q14</f>
        <v>930465</v>
      </c>
      <c r="V6" s="457" t="s">
        <v>88</v>
      </c>
      <c r="W6" s="272">
        <f t="shared" si="0"/>
        <v>1837057</v>
      </c>
      <c r="X6" s="272">
        <f t="shared" ref="X6:X16" si="1">W6-S6</f>
        <v>0</v>
      </c>
      <c r="Y6" s="457" t="s">
        <v>88</v>
      </c>
      <c r="Z6" s="272">
        <f>'Gmina Miasto Kołobrzeg_część 1'!Q80+'Gmina Miasto Kołobrzeg część 2 '!Q32+'GMKg MOPS część 3'!Q11+'Gmina Miasto Kołobrzeg część 4'!Q32+'GMKg MOSiR część 5'!Q22</f>
        <v>834292</v>
      </c>
      <c r="AA6" s="272">
        <f>'Gmina Miasto Kołobrzeg_część 1'!R80+'Gmina Miasto Kołobrzeg część 2 '!R32+'GMKg MOPS część 3'!R11+'Gmina Miasto Kołobrzeg część 4'!R32+'GMKg MOSiR część 5'!R22</f>
        <v>855165</v>
      </c>
      <c r="AB6" s="272">
        <f>AA6+Z6</f>
        <v>1689457</v>
      </c>
      <c r="AC6" s="272">
        <f>AB6-O6</f>
        <v>0</v>
      </c>
    </row>
    <row r="7" spans="1:29" s="269" customFormat="1" ht="15">
      <c r="B7" s="386" t="s">
        <v>159</v>
      </c>
      <c r="C7" s="383"/>
      <c r="D7" s="384">
        <f>'Gmina Miasto Kołobrzeg część 2 '!S9</f>
        <v>27500</v>
      </c>
      <c r="E7" s="385"/>
      <c r="F7" s="385"/>
      <c r="G7" s="385"/>
      <c r="H7" s="385"/>
      <c r="I7" s="428">
        <f t="shared" ref="I7:I14" si="2">SUM(C7:H7)</f>
        <v>27500</v>
      </c>
      <c r="J7" s="417"/>
      <c r="K7" s="387">
        <f>'Gmina Miasto Kołobrzeg część 4'!S9</f>
        <v>54000</v>
      </c>
      <c r="L7" s="388"/>
      <c r="M7" s="389">
        <f>'GMKg MOSiR część 5'!S23</f>
        <v>9044</v>
      </c>
      <c r="N7" s="393">
        <f t="shared" ref="N7:N14" si="3">M7+L7+K7+J7</f>
        <v>63044</v>
      </c>
      <c r="O7" s="382">
        <f t="shared" ref="O7:O14" si="4">N7+I7</f>
        <v>90544</v>
      </c>
      <c r="P7" s="386"/>
      <c r="Q7" s="386"/>
      <c r="R7" s="435">
        <f>'Komunikacja Miejska część 6'!S20</f>
        <v>195000</v>
      </c>
      <c r="S7" s="390">
        <f>R7+Q7+P7++O7</f>
        <v>285544</v>
      </c>
      <c r="T7" s="363">
        <f>'Gmina Miasto Kołobrzeg część 2 '!Q33+'GMKg MOPS część 3'!Q14+'Gmina Miasto Kołobrzeg część 4'!Q28+'GMKg MOSiR część 5'!Q23+'Komunikacja Miejska część 6'!Q26+'Komunikacja Miejska część 6'!Q20+'Biblioteka Miejska część 7'!Q12+'RCK część 8'!Q15</f>
        <v>139522</v>
      </c>
      <c r="U7" s="444">
        <f>'Gmina Miasto Kołobrzeg część 2 '!R33+'GMKg MOPS część 3'!Q14+'Gmina Miasto Kołobrzeg część 4'!R28+'GMKg MOSiR część 5'!R23+'Komunikacja Miejska część 6'!R20+'Biblioteka Miejska część 7'!R15+'RCK część 8'!R14</f>
        <v>146022</v>
      </c>
      <c r="V7" s="456" t="s">
        <v>159</v>
      </c>
      <c r="W7" s="272">
        <f>T7+U7</f>
        <v>285544</v>
      </c>
      <c r="X7" s="272">
        <f t="shared" si="1"/>
        <v>0</v>
      </c>
      <c r="Y7" s="456" t="s">
        <v>159</v>
      </c>
      <c r="Z7" s="272">
        <f>Z8+Z9</f>
        <v>44522</v>
      </c>
      <c r="AA7" s="272">
        <f>AA8+AA9</f>
        <v>46022</v>
      </c>
      <c r="AB7" s="272">
        <f t="shared" ref="AB7:AB9" si="5">AA7+Z7</f>
        <v>90544</v>
      </c>
      <c r="AC7" s="272">
        <f>AB7-O7</f>
        <v>0</v>
      </c>
    </row>
    <row r="8" spans="1:29" s="269" customFormat="1">
      <c r="B8" s="404" t="s">
        <v>725</v>
      </c>
      <c r="C8" s="366"/>
      <c r="D8" s="363">
        <f>'Gmina Miasto Kołobrzeg część 2 '!Q34+'Gmina Miasto Kołobrzeg część 2 '!R34</f>
        <v>6500</v>
      </c>
      <c r="E8" s="363"/>
      <c r="F8" s="363"/>
      <c r="G8" s="363"/>
      <c r="H8" s="363"/>
      <c r="I8" s="429">
        <f t="shared" si="2"/>
        <v>6500</v>
      </c>
      <c r="J8" s="418"/>
      <c r="K8" s="374">
        <f>'Gmina Miasto Kołobrzeg część 4'!Q34+'Gmina Miasto Kołobrzeg część 4'!R34</f>
        <v>7500</v>
      </c>
      <c r="L8" s="162"/>
      <c r="M8" s="369">
        <f>'GMKg MOSiR część 5'!Q24+'GMKg MOSiR część 5'!R24</f>
        <v>2044</v>
      </c>
      <c r="N8" s="394">
        <f>M8+L8+K8+J8</f>
        <v>9544</v>
      </c>
      <c r="O8" s="370">
        <f>N8+I8</f>
        <v>16044</v>
      </c>
      <c r="P8" s="376"/>
      <c r="Q8" s="376"/>
      <c r="R8" s="436">
        <f>'Komunikacja Miejska część 6'!Q21+'Komunikacja Miejska część 6'!R21</f>
        <v>58500</v>
      </c>
      <c r="S8" s="445">
        <f>R8+Q8+P8++O8</f>
        <v>74544</v>
      </c>
      <c r="T8" s="363">
        <f>'Gmina Miasto Kołobrzeg część 2 '!Q34+'Gmina Miasto Kołobrzeg część 4'!Q51+'GMKg MOSiR część 5'!Q24+'RCK część 8'!Q21+'Komunikacja Miejska część 6'!Q21</f>
        <v>36272</v>
      </c>
      <c r="U8" s="444">
        <f>'Gmina Miasto Kołobrzeg część 2 '!R34+'Gmina Miasto Kołobrzeg część 4'!R34+'GMKg MOSiR część 5'!R24+'Komunikacja Miejska część 6'!R21</f>
        <v>38272</v>
      </c>
      <c r="V8" s="456" t="s">
        <v>725</v>
      </c>
      <c r="W8" s="272">
        <f>T8+U8</f>
        <v>74544</v>
      </c>
      <c r="X8" s="272">
        <f>W8-S8</f>
        <v>0</v>
      </c>
      <c r="Y8" s="456" t="s">
        <v>725</v>
      </c>
      <c r="Z8" s="269">
        <f>'Gmina Miasto Kołobrzeg część 2 '!Q34+'Gmina Miasto Kołobrzeg część 4'!Q34+'GMKg MOSiR część 5'!Q24</f>
        <v>7772</v>
      </c>
      <c r="AA8" s="269">
        <f>'Gmina Miasto Kołobrzeg część 2 '!R34+'Gmina Miasto Kołobrzeg część 4'!R34+'GMKg MOSiR część 5'!R24</f>
        <v>8272</v>
      </c>
      <c r="AB8" s="272">
        <f t="shared" si="5"/>
        <v>16044</v>
      </c>
      <c r="AC8" s="272">
        <f t="shared" ref="AC8:AC9" si="6">AB8-O8</f>
        <v>0</v>
      </c>
    </row>
    <row r="9" spans="1:29" s="269" customFormat="1">
      <c r="B9" s="404" t="s">
        <v>726</v>
      </c>
      <c r="C9" s="366"/>
      <c r="D9" s="363">
        <f>'Gmina Miasto Kołobrzeg część 2 '!Q35+'Gmina Miasto Kołobrzeg część 2 '!R35</f>
        <v>21000</v>
      </c>
      <c r="E9" s="363"/>
      <c r="F9" s="363"/>
      <c r="G9" s="363"/>
      <c r="H9" s="363"/>
      <c r="I9" s="429">
        <f t="shared" si="2"/>
        <v>21000</v>
      </c>
      <c r="J9" s="418"/>
      <c r="K9" s="374">
        <f>'Gmina Miasto Kołobrzeg część 4'!Q35+'Gmina Miasto Kołobrzeg część 4'!R35</f>
        <v>46500</v>
      </c>
      <c r="L9" s="162"/>
      <c r="M9" s="369">
        <f>'GMKg MOSiR część 5'!Q25+'GMKg MOSiR część 5'!R25</f>
        <v>7000</v>
      </c>
      <c r="N9" s="394">
        <f t="shared" si="3"/>
        <v>53500</v>
      </c>
      <c r="O9" s="370">
        <f t="shared" si="4"/>
        <v>74500</v>
      </c>
      <c r="P9" s="376"/>
      <c r="Q9" s="376"/>
      <c r="R9" s="436">
        <f>'Komunikacja Miejska część 6'!Q22+'Komunikacja Miejska część 6'!R22</f>
        <v>136500</v>
      </c>
      <c r="S9" s="445">
        <f t="shared" ref="S9:S16" si="7">R9+Q9+P9++O9</f>
        <v>211000</v>
      </c>
      <c r="T9" s="363">
        <f>'Gmina Miasto Kołobrzeg część 2 '!Q35+'Gmina Miasto Kołobrzeg część 4'!Q35+'GMKg MOSiR część 5'!Q25+'Komunikacja Miejska część 6'!Q22</f>
        <v>103250</v>
      </c>
      <c r="U9" s="444">
        <f>'Gmina Miasto Kołobrzeg część 2 '!R35+'Gmina Miasto Kołobrzeg część 4'!R35+'GMKg MOSiR część 5'!R25+'Komunikacja Miejska część 6'!R22</f>
        <v>107750</v>
      </c>
      <c r="V9" s="456" t="s">
        <v>726</v>
      </c>
      <c r="W9" s="272">
        <f t="shared" ref="W9:W16" si="8">T9+U9</f>
        <v>211000</v>
      </c>
      <c r="X9" s="272">
        <f t="shared" si="1"/>
        <v>0</v>
      </c>
      <c r="Y9" s="456" t="s">
        <v>726</v>
      </c>
      <c r="Z9" s="269">
        <f>'Gmina Miasto Kołobrzeg część 2 '!Q35+'Gmina Miasto Kołobrzeg część 4'!Q35+'GMKg MOSiR część 5'!Q25</f>
        <v>36750</v>
      </c>
      <c r="AA9" s="269">
        <f>'Gmina Miasto Kołobrzeg część 2 '!R35+'Gmina Miasto Kołobrzeg część 4'!R35+'GMKg MOSiR część 5'!R25</f>
        <v>37750</v>
      </c>
      <c r="AB9" s="272">
        <f t="shared" si="5"/>
        <v>74500</v>
      </c>
      <c r="AC9" s="272">
        <f t="shared" si="6"/>
        <v>0</v>
      </c>
    </row>
    <row r="10" spans="1:29" ht="15">
      <c r="B10" s="386" t="s">
        <v>24</v>
      </c>
      <c r="C10" s="390">
        <f>'Gmina Miasto Kołobrzeg_część 1'!S81</f>
        <v>1851300</v>
      </c>
      <c r="D10" s="385"/>
      <c r="E10" s="385"/>
      <c r="F10" s="385"/>
      <c r="G10" s="385"/>
      <c r="H10" s="385"/>
      <c r="I10" s="428">
        <f t="shared" si="2"/>
        <v>1851300</v>
      </c>
      <c r="J10" s="417"/>
      <c r="K10" s="391"/>
      <c r="L10" s="388"/>
      <c r="M10" s="378"/>
      <c r="N10" s="421">
        <f t="shared" si="3"/>
        <v>0</v>
      </c>
      <c r="O10" s="382">
        <f t="shared" si="4"/>
        <v>1851300</v>
      </c>
      <c r="P10" s="386"/>
      <c r="Q10" s="386"/>
      <c r="R10" s="437"/>
      <c r="S10" s="390">
        <f t="shared" si="7"/>
        <v>1851300</v>
      </c>
      <c r="T10" s="363">
        <f>'Gmina Miasto Kołobrzeg_część 1'!Q81</f>
        <v>919500</v>
      </c>
      <c r="U10" s="444">
        <f>'Gmina Miasto Kołobrzeg_część 1'!R81</f>
        <v>931800</v>
      </c>
      <c r="V10" s="456" t="s">
        <v>24</v>
      </c>
      <c r="W10" s="272">
        <f t="shared" si="8"/>
        <v>1851300</v>
      </c>
      <c r="X10" s="272">
        <f t="shared" si="1"/>
        <v>0</v>
      </c>
      <c r="Y10" s="456" t="s">
        <v>24</v>
      </c>
      <c r="Z10" s="272">
        <f>Z11+Z12</f>
        <v>919500</v>
      </c>
      <c r="AA10" s="272">
        <f>AA11+AA12</f>
        <v>931800</v>
      </c>
      <c r="AB10" s="272">
        <f t="shared" ref="AB10" si="9">AA10+Z10</f>
        <v>1851300</v>
      </c>
      <c r="AC10" s="272">
        <f t="shared" ref="AC10" si="10">AB10-O10</f>
        <v>0</v>
      </c>
    </row>
    <row r="11" spans="1:29" s="269" customFormat="1">
      <c r="B11" s="404" t="s">
        <v>727</v>
      </c>
      <c r="C11" s="366">
        <f>'Gmina Miasto Kołobrzeg_część 1'!S82</f>
        <v>666468</v>
      </c>
      <c r="D11" s="363"/>
      <c r="E11" s="363"/>
      <c r="F11" s="363"/>
      <c r="G11" s="363"/>
      <c r="H11" s="363"/>
      <c r="I11" s="429">
        <f t="shared" si="2"/>
        <v>666468</v>
      </c>
      <c r="J11" s="418"/>
      <c r="K11" s="374"/>
      <c r="L11" s="162"/>
      <c r="M11" s="364"/>
      <c r="N11" s="394">
        <f t="shared" si="3"/>
        <v>0</v>
      </c>
      <c r="O11" s="370">
        <f t="shared" si="4"/>
        <v>666468</v>
      </c>
      <c r="P11" s="376"/>
      <c r="Q11" s="376"/>
      <c r="R11" s="438"/>
      <c r="S11" s="445">
        <f t="shared" si="7"/>
        <v>666468</v>
      </c>
      <c r="T11" s="363">
        <f>'Gmina Miasto Kołobrzeg_część 1'!Q82</f>
        <v>331020</v>
      </c>
      <c r="U11" s="444">
        <f>'Gmina Miasto Kołobrzeg_część 1'!R82</f>
        <v>335448</v>
      </c>
      <c r="V11" s="456" t="s">
        <v>727</v>
      </c>
      <c r="W11" s="272">
        <f t="shared" si="8"/>
        <v>666468</v>
      </c>
      <c r="X11" s="272">
        <f t="shared" si="1"/>
        <v>0</v>
      </c>
      <c r="Y11" s="456" t="s">
        <v>727</v>
      </c>
      <c r="Z11" s="272">
        <f>T11</f>
        <v>331020</v>
      </c>
      <c r="AA11" s="272">
        <f>U11</f>
        <v>335448</v>
      </c>
      <c r="AB11" s="272">
        <f t="shared" ref="AB11:AB12" si="11">AA11+Z11</f>
        <v>666468</v>
      </c>
      <c r="AC11" s="272">
        <f t="shared" ref="AC11:AC12" si="12">AB11-O11</f>
        <v>0</v>
      </c>
    </row>
    <row r="12" spans="1:29" s="269" customFormat="1">
      <c r="B12" s="404" t="s">
        <v>728</v>
      </c>
      <c r="C12" s="366">
        <f>'Gmina Miasto Kołobrzeg_część 1'!S83</f>
        <v>1184832</v>
      </c>
      <c r="D12" s="363"/>
      <c r="E12" s="363"/>
      <c r="F12" s="363"/>
      <c r="G12" s="363"/>
      <c r="H12" s="363"/>
      <c r="I12" s="429">
        <f t="shared" si="2"/>
        <v>1184832</v>
      </c>
      <c r="J12" s="418"/>
      <c r="K12" s="374"/>
      <c r="L12" s="162"/>
      <c r="M12" s="364"/>
      <c r="N12" s="394">
        <f t="shared" si="3"/>
        <v>0</v>
      </c>
      <c r="O12" s="370">
        <f t="shared" si="4"/>
        <v>1184832</v>
      </c>
      <c r="P12" s="376"/>
      <c r="Q12" s="376"/>
      <c r="R12" s="438"/>
      <c r="S12" s="445">
        <f t="shared" si="7"/>
        <v>1184832</v>
      </c>
      <c r="T12" s="363">
        <f>'Gmina Miasto Kołobrzeg_część 1'!Q83</f>
        <v>588480</v>
      </c>
      <c r="U12" s="444">
        <f>'Gmina Miasto Kołobrzeg_część 1'!R83</f>
        <v>596352</v>
      </c>
      <c r="V12" s="456" t="s">
        <v>728</v>
      </c>
      <c r="W12" s="272">
        <f t="shared" si="8"/>
        <v>1184832</v>
      </c>
      <c r="X12" s="272">
        <f t="shared" si="1"/>
        <v>0</v>
      </c>
      <c r="Y12" s="456" t="s">
        <v>728</v>
      </c>
      <c r="Z12" s="272">
        <f>T12</f>
        <v>588480</v>
      </c>
      <c r="AA12" s="272">
        <f>U12</f>
        <v>596352</v>
      </c>
      <c r="AB12" s="272">
        <f t="shared" si="11"/>
        <v>1184832</v>
      </c>
      <c r="AC12" s="272">
        <f t="shared" si="12"/>
        <v>0</v>
      </c>
    </row>
    <row r="13" spans="1:29" ht="15">
      <c r="A13" s="269"/>
      <c r="B13" s="386" t="s">
        <v>87</v>
      </c>
      <c r="C13" s="383"/>
      <c r="D13" s="384">
        <f>'Gmina Miasto Kołobrzeg część 2 '!S3+'Gmina Miasto Kołobrzeg część 2 '!S6</f>
        <v>282000</v>
      </c>
      <c r="E13" s="385"/>
      <c r="F13" s="385"/>
      <c r="G13" s="385"/>
      <c r="H13" s="385"/>
      <c r="I13" s="428">
        <f t="shared" si="2"/>
        <v>282000</v>
      </c>
      <c r="J13" s="416">
        <f>'Gmina Miasto Kołobrzeg część 4'!S11+'Gmina Miasto Kołobrzeg część 4'!S17+'Gmina Miasto Kołobrzeg część 4'!S19+'Gmina Miasto Kołobrzeg część 4'!S21+'Gmina Miasto Kołobrzeg część 4'!S24</f>
        <v>660600</v>
      </c>
      <c r="K13" s="392">
        <f>'Gmina Miasto Kołobrzeg część 4'!S47</f>
        <v>60000</v>
      </c>
      <c r="L13" s="388"/>
      <c r="M13" s="378"/>
      <c r="N13" s="393">
        <f t="shared" si="3"/>
        <v>720600</v>
      </c>
      <c r="O13" s="382">
        <f t="shared" si="4"/>
        <v>1002600</v>
      </c>
      <c r="P13" s="386"/>
      <c r="Q13" s="382">
        <f>'RCK część 8'!S11</f>
        <v>20000</v>
      </c>
      <c r="R13" s="437"/>
      <c r="S13" s="390">
        <f t="shared" si="7"/>
        <v>1022600</v>
      </c>
      <c r="T13" s="363">
        <f>'Gmina Miasto Kołobrzeg część 2 '!Q31+'Gmina Miasto Kołobrzeg część 4'!Q31+'RCK część 8'!Q11</f>
        <v>500300</v>
      </c>
      <c r="U13" s="444">
        <f>'Gmina Miasto Kołobrzeg część 2 '!R31+'Gmina Miasto Kołobrzeg część 4'!R31+'RCK część 8'!R11</f>
        <v>522300</v>
      </c>
      <c r="V13" s="456" t="s">
        <v>87</v>
      </c>
      <c r="W13" s="272">
        <f t="shared" si="8"/>
        <v>1022600</v>
      </c>
      <c r="X13" s="272">
        <f t="shared" si="1"/>
        <v>0</v>
      </c>
      <c r="Y13" s="456" t="s">
        <v>87</v>
      </c>
      <c r="Z13" s="272">
        <f>'Gmina Miasto Kołobrzeg część 2 '!Q31+'Gmina Miasto Kołobrzeg część 4'!Q31</f>
        <v>490300</v>
      </c>
      <c r="AA13" s="272">
        <f>'Gmina Miasto Kołobrzeg część 2 '!R31+'Gmina Miasto Kołobrzeg część 4'!R31</f>
        <v>512300</v>
      </c>
      <c r="AB13" s="272">
        <f t="shared" ref="AB13" si="13">AA13+Z13</f>
        <v>1002600</v>
      </c>
      <c r="AC13" s="272">
        <f t="shared" ref="AC13" si="14">AB13-O13</f>
        <v>0</v>
      </c>
    </row>
    <row r="14" spans="1:29" ht="15">
      <c r="B14" s="405" t="s">
        <v>160</v>
      </c>
      <c r="C14" s="406"/>
      <c r="D14" s="407"/>
      <c r="E14" s="407"/>
      <c r="F14" s="407"/>
      <c r="G14" s="407"/>
      <c r="H14" s="407"/>
      <c r="I14" s="430">
        <f t="shared" si="2"/>
        <v>0</v>
      </c>
      <c r="J14" s="425"/>
      <c r="K14" s="408"/>
      <c r="L14" s="409"/>
      <c r="M14" s="410"/>
      <c r="N14" s="412">
        <f t="shared" si="3"/>
        <v>0</v>
      </c>
      <c r="O14" s="411">
        <f t="shared" si="4"/>
        <v>0</v>
      </c>
      <c r="P14" s="405"/>
      <c r="Q14" s="433">
        <f>'RCK część 8'!S8</f>
        <v>232000</v>
      </c>
      <c r="R14" s="439"/>
      <c r="S14" s="390">
        <f t="shared" si="7"/>
        <v>232000</v>
      </c>
      <c r="T14" s="363">
        <f>'RCK część 8'!Q3</f>
        <v>116000</v>
      </c>
      <c r="U14" s="444">
        <f>'RCK część 8'!R8</f>
        <v>116000</v>
      </c>
      <c r="V14" s="456" t="s">
        <v>160</v>
      </c>
      <c r="W14" s="272">
        <f t="shared" si="8"/>
        <v>232000</v>
      </c>
      <c r="X14" s="272">
        <f t="shared" si="1"/>
        <v>0</v>
      </c>
      <c r="Y14" s="456" t="s">
        <v>160</v>
      </c>
    </row>
    <row r="15" spans="1:29">
      <c r="B15" s="404" t="s">
        <v>725</v>
      </c>
      <c r="C15" s="431"/>
      <c r="D15" s="162"/>
      <c r="E15" s="162"/>
      <c r="F15" s="162"/>
      <c r="G15" s="162"/>
      <c r="H15" s="162"/>
      <c r="I15" s="413"/>
      <c r="J15" s="374"/>
      <c r="K15" s="162"/>
      <c r="L15" s="162"/>
      <c r="M15" s="162"/>
      <c r="N15" s="364"/>
      <c r="O15" s="376"/>
      <c r="P15" s="376"/>
      <c r="Q15" s="370">
        <f>'RCK część 8'!S9</f>
        <v>72000</v>
      </c>
      <c r="R15" s="438"/>
      <c r="S15" s="445">
        <f t="shared" si="7"/>
        <v>72000</v>
      </c>
      <c r="T15" s="443">
        <v>36000</v>
      </c>
      <c r="U15" s="446">
        <v>36000</v>
      </c>
      <c r="V15" s="456" t="s">
        <v>725</v>
      </c>
      <c r="W15" s="272">
        <f t="shared" si="8"/>
        <v>72000</v>
      </c>
      <c r="X15" s="272">
        <f t="shared" si="1"/>
        <v>0</v>
      </c>
      <c r="Y15" s="456" t="s">
        <v>725</v>
      </c>
    </row>
    <row r="16" spans="1:29" ht="15" thickBot="1">
      <c r="B16" s="414" t="s">
        <v>726</v>
      </c>
      <c r="C16" s="432"/>
      <c r="D16" s="367"/>
      <c r="E16" s="367"/>
      <c r="F16" s="367"/>
      <c r="G16" s="367"/>
      <c r="H16" s="367"/>
      <c r="I16" s="415"/>
      <c r="J16" s="375"/>
      <c r="K16" s="367"/>
      <c r="L16" s="367"/>
      <c r="M16" s="367"/>
      <c r="N16" s="372"/>
      <c r="O16" s="377"/>
      <c r="P16" s="377"/>
      <c r="Q16" s="371">
        <f>'RCK część 8'!S10</f>
        <v>160000</v>
      </c>
      <c r="R16" s="440"/>
      <c r="S16" s="447">
        <f t="shared" si="7"/>
        <v>160000</v>
      </c>
      <c r="T16" s="448">
        <v>80000</v>
      </c>
      <c r="U16" s="449">
        <v>80000</v>
      </c>
      <c r="V16" s="456" t="s">
        <v>726</v>
      </c>
      <c r="W16" s="272">
        <f t="shared" si="8"/>
        <v>160000</v>
      </c>
      <c r="X16" s="272">
        <f t="shared" si="1"/>
        <v>0</v>
      </c>
      <c r="Y16" s="456" t="s">
        <v>726</v>
      </c>
    </row>
    <row r="17" spans="2:24" ht="15">
      <c r="C17" s="272">
        <f>C5+C6+C7+C10+C13+C14</f>
        <v>2186650</v>
      </c>
      <c r="D17" s="272">
        <f>D5+D6+D7+D10+D13+D14</f>
        <v>525500</v>
      </c>
      <c r="E17" s="272">
        <f t="shared" ref="E17:R17" si="15">E5+E6+E7+E10+E13+E14</f>
        <v>113200</v>
      </c>
      <c r="F17" s="272">
        <f t="shared" si="15"/>
        <v>22280</v>
      </c>
      <c r="G17" s="272">
        <f t="shared" si="15"/>
        <v>9400</v>
      </c>
      <c r="H17" s="272">
        <f t="shared" si="15"/>
        <v>30000</v>
      </c>
      <c r="I17" s="272">
        <f t="shared" si="15"/>
        <v>2887030</v>
      </c>
      <c r="J17" s="272">
        <f t="shared" si="15"/>
        <v>1109756</v>
      </c>
      <c r="K17" s="272">
        <f t="shared" si="15"/>
        <v>407891</v>
      </c>
      <c r="L17" s="272">
        <f t="shared" si="15"/>
        <v>132050</v>
      </c>
      <c r="M17" s="272">
        <f t="shared" si="15"/>
        <v>3109282</v>
      </c>
      <c r="N17" s="272">
        <f t="shared" si="15"/>
        <v>4758979</v>
      </c>
      <c r="O17" s="272">
        <f t="shared" si="15"/>
        <v>7646009</v>
      </c>
      <c r="P17" s="272">
        <f t="shared" si="15"/>
        <v>53600</v>
      </c>
      <c r="Q17" s="272">
        <f t="shared" si="15"/>
        <v>252000</v>
      </c>
      <c r="R17" s="272">
        <f t="shared" si="15"/>
        <v>289000</v>
      </c>
      <c r="S17" s="165">
        <f>S5+S6+S7+S10+S13+S14</f>
        <v>8240609</v>
      </c>
      <c r="T17" s="450">
        <f t="shared" ref="T17:U17" si="16">T5+T6+T7+T10+T13+T14</f>
        <v>4087968</v>
      </c>
      <c r="U17" s="450">
        <f t="shared" si="16"/>
        <v>4152641</v>
      </c>
      <c r="X17" s="272"/>
    </row>
    <row r="19" spans="2:24">
      <c r="S19" s="451">
        <v>0.38500000000000001</v>
      </c>
    </row>
    <row r="20" spans="2:24">
      <c r="K20" s="272"/>
      <c r="S20" s="202">
        <f>ROUND(S17*S19,2)</f>
        <v>3172634.47</v>
      </c>
      <c r="T20" t="s">
        <v>756</v>
      </c>
    </row>
    <row r="21" spans="2:24">
      <c r="Q21" t="s">
        <v>757</v>
      </c>
      <c r="R21">
        <v>4.2693000000000003</v>
      </c>
      <c r="S21" s="453">
        <f>ROUND(S20/R21,2)</f>
        <v>743127.55</v>
      </c>
    </row>
    <row r="22" spans="2:24">
      <c r="K22" s="272"/>
      <c r="S22" s="452"/>
    </row>
    <row r="23" spans="2:24">
      <c r="S23" s="452">
        <f>ROUND(S20*1.23,2)</f>
        <v>3902340.4</v>
      </c>
      <c r="T23" t="s">
        <v>758</v>
      </c>
    </row>
    <row r="24" spans="2:24">
      <c r="S24" s="452"/>
    </row>
    <row r="25" spans="2:24">
      <c r="K25" s="272"/>
      <c r="S25" s="452">
        <f>S23*1.15</f>
        <v>4487691.46</v>
      </c>
      <c r="T25" t="s">
        <v>790</v>
      </c>
    </row>
    <row r="26" spans="2:24">
      <c r="S26" s="452"/>
    </row>
    <row r="27" spans="2:24">
      <c r="S27" s="452"/>
    </row>
    <row r="28" spans="2:24">
      <c r="S28" s="452"/>
    </row>
    <row r="29" spans="2:24">
      <c r="S29" s="452"/>
    </row>
    <row r="30" spans="2:24">
      <c r="V30" s="452" t="s">
        <v>720</v>
      </c>
    </row>
    <row r="31" spans="2:24" ht="15.75">
      <c r="B31" t="s">
        <v>386</v>
      </c>
      <c r="I31">
        <f>SUM(C31:H31)</f>
        <v>0</v>
      </c>
      <c r="M31">
        <v>3</v>
      </c>
      <c r="N31">
        <f>SUM(J31:M31)</f>
        <v>3</v>
      </c>
      <c r="O31" s="212">
        <f>N31+I31</f>
        <v>3</v>
      </c>
      <c r="S31" s="455">
        <f>O31+P31+Q31+R31</f>
        <v>3</v>
      </c>
      <c r="T31" s="212" t="s">
        <v>386</v>
      </c>
    </row>
    <row r="32" spans="2:24" ht="15.75">
      <c r="B32" t="s">
        <v>88</v>
      </c>
      <c r="C32" s="269">
        <f>'Gmina Miasto Kołobrzeg_część 1'!M80</f>
        <v>13</v>
      </c>
      <c r="D32">
        <v>4</v>
      </c>
      <c r="E32">
        <v>6</v>
      </c>
      <c r="F32">
        <v>5</v>
      </c>
      <c r="G32">
        <v>6</v>
      </c>
      <c r="H32">
        <v>1</v>
      </c>
      <c r="I32" s="269">
        <f t="shared" ref="I32:I36" si="17">SUM(C32:H32)</f>
        <v>35</v>
      </c>
      <c r="J32" s="269">
        <v>9</v>
      </c>
      <c r="K32" s="269">
        <v>7</v>
      </c>
      <c r="L32" s="269">
        <v>5</v>
      </c>
      <c r="M32" s="269">
        <v>6</v>
      </c>
      <c r="N32" s="269">
        <f t="shared" ref="N32:N36" si="18">SUM(J32:M32)</f>
        <v>27</v>
      </c>
      <c r="O32" s="212">
        <f t="shared" ref="O32:O36" si="19">N32+I32</f>
        <v>62</v>
      </c>
      <c r="P32" s="269">
        <v>2</v>
      </c>
      <c r="R32">
        <v>14</v>
      </c>
      <c r="S32" s="455">
        <f t="shared" ref="S32:S37" si="20">O32+P32+Q32+R32</f>
        <v>78</v>
      </c>
      <c r="T32" s="212" t="s">
        <v>88</v>
      </c>
    </row>
    <row r="33" spans="2:24" ht="15.75">
      <c r="B33" t="s">
        <v>24</v>
      </c>
      <c r="C33" s="269">
        <f>'Gmina Miasto Kołobrzeg_część 1'!M81</f>
        <v>61</v>
      </c>
      <c r="I33" s="269">
        <f t="shared" si="17"/>
        <v>61</v>
      </c>
      <c r="N33" s="269">
        <f t="shared" si="18"/>
        <v>0</v>
      </c>
      <c r="O33" s="212">
        <f t="shared" si="19"/>
        <v>61</v>
      </c>
      <c r="S33" s="455">
        <f t="shared" si="20"/>
        <v>61</v>
      </c>
      <c r="T33" s="212" t="s">
        <v>24</v>
      </c>
    </row>
    <row r="34" spans="2:24" ht="15.75">
      <c r="B34" t="s">
        <v>159</v>
      </c>
      <c r="D34">
        <v>1</v>
      </c>
      <c r="I34" s="269">
        <f t="shared" si="17"/>
        <v>1</v>
      </c>
      <c r="K34">
        <v>1</v>
      </c>
      <c r="M34">
        <v>1</v>
      </c>
      <c r="N34" s="269">
        <f t="shared" si="18"/>
        <v>2</v>
      </c>
      <c r="O34" s="212">
        <f t="shared" si="19"/>
        <v>3</v>
      </c>
      <c r="R34">
        <v>1</v>
      </c>
      <c r="S34" s="455">
        <f t="shared" si="20"/>
        <v>4</v>
      </c>
      <c r="T34" s="212" t="s">
        <v>159</v>
      </c>
    </row>
    <row r="35" spans="2:24" ht="15.75">
      <c r="B35" t="s">
        <v>87</v>
      </c>
      <c r="D35">
        <v>2</v>
      </c>
      <c r="I35" s="269">
        <f t="shared" si="17"/>
        <v>2</v>
      </c>
      <c r="J35">
        <v>6</v>
      </c>
      <c r="N35" s="269">
        <f t="shared" si="18"/>
        <v>6</v>
      </c>
      <c r="O35" s="212">
        <f t="shared" si="19"/>
        <v>8</v>
      </c>
      <c r="Q35">
        <v>1</v>
      </c>
      <c r="S35" s="455">
        <f t="shared" si="20"/>
        <v>9</v>
      </c>
      <c r="T35" s="212" t="s">
        <v>87</v>
      </c>
    </row>
    <row r="36" spans="2:24" ht="15.75">
      <c r="B36" t="s">
        <v>160</v>
      </c>
      <c r="I36" s="269">
        <f t="shared" si="17"/>
        <v>0</v>
      </c>
      <c r="N36" s="269">
        <f t="shared" si="18"/>
        <v>0</v>
      </c>
      <c r="O36" s="212">
        <f t="shared" si="19"/>
        <v>0</v>
      </c>
      <c r="Q36">
        <v>1</v>
      </c>
      <c r="S36" s="455">
        <f t="shared" si="20"/>
        <v>1</v>
      </c>
      <c r="T36" s="212" t="s">
        <v>160</v>
      </c>
    </row>
    <row r="37" spans="2:24" ht="15.75">
      <c r="I37" s="269">
        <f>SUM(I31:I36)</f>
        <v>99</v>
      </c>
      <c r="N37" s="269">
        <f>SUM(N31:N36)</f>
        <v>38</v>
      </c>
      <c r="O37" s="212">
        <f>N37+I37</f>
        <v>137</v>
      </c>
      <c r="P37" s="454">
        <f>P31+P32+P33+P34+P35+P36</f>
        <v>2</v>
      </c>
      <c r="Q37" s="454">
        <f t="shared" ref="Q37:R37" si="21">Q31+Q32+Q33+Q34+Q35+Q36</f>
        <v>2</v>
      </c>
      <c r="R37" s="454">
        <f t="shared" si="21"/>
        <v>15</v>
      </c>
      <c r="S37" s="455">
        <f t="shared" si="20"/>
        <v>156</v>
      </c>
      <c r="T37" s="212" t="s">
        <v>512</v>
      </c>
    </row>
    <row r="38" spans="2:24">
      <c r="I38" s="269"/>
    </row>
    <row r="40" spans="2:24">
      <c r="D40">
        <f>D35+D34+D32+F32+H32</f>
        <v>13</v>
      </c>
    </row>
    <row r="41" spans="2:24">
      <c r="S41">
        <v>3148552.72</v>
      </c>
    </row>
    <row r="42" spans="2:24">
      <c r="K42" s="280">
        <v>5</v>
      </c>
      <c r="L42" s="280" t="s">
        <v>87</v>
      </c>
      <c r="M42" s="269">
        <f>3</f>
        <v>3</v>
      </c>
      <c r="N42" s="269" t="s">
        <v>386</v>
      </c>
      <c r="S42">
        <v>737486.88</v>
      </c>
    </row>
    <row r="43" spans="2:24">
      <c r="K43" s="280">
        <v>16</v>
      </c>
      <c r="L43" s="280" t="s">
        <v>88</v>
      </c>
      <c r="M43" s="272">
        <v>6</v>
      </c>
      <c r="N43" s="269" t="s">
        <v>88</v>
      </c>
      <c r="S43">
        <v>4453627.8274999997</v>
      </c>
    </row>
    <row r="44" spans="2:24">
      <c r="K44" s="280">
        <v>1</v>
      </c>
      <c r="L44" s="280" t="s">
        <v>159</v>
      </c>
      <c r="M44" s="269">
        <v>1</v>
      </c>
      <c r="N44" s="269" t="s">
        <v>159</v>
      </c>
      <c r="S44">
        <v>4453627.83</v>
      </c>
    </row>
    <row r="45" spans="2:24">
      <c r="K45" s="269"/>
      <c r="L45" s="269"/>
      <c r="M45" s="269">
        <v>10</v>
      </c>
      <c r="N45" s="269" t="s">
        <v>512</v>
      </c>
    </row>
    <row r="46" spans="2:24">
      <c r="X46">
        <v>49200</v>
      </c>
    </row>
    <row r="47" spans="2:24">
      <c r="X47" s="548">
        <v>4.3499999999999997E-2</v>
      </c>
    </row>
    <row r="48" spans="2:24">
      <c r="X48">
        <f>X46*X47</f>
        <v>2140.1999999999998</v>
      </c>
    </row>
  </sheetData>
  <mergeCells count="11">
    <mergeCell ref="C3:I3"/>
    <mergeCell ref="O3:O4"/>
    <mergeCell ref="C2:O2"/>
    <mergeCell ref="B3:B4"/>
    <mergeCell ref="P3:P4"/>
    <mergeCell ref="Z3:AA3"/>
    <mergeCell ref="Q3:Q4"/>
    <mergeCell ref="R3:R4"/>
    <mergeCell ref="S3:S4"/>
    <mergeCell ref="T3:T4"/>
    <mergeCell ref="U3: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Gmina Miasto Kołobrzeg_część 1</vt:lpstr>
      <vt:lpstr>Gmina Miasto Kołobrzeg część 2 </vt:lpstr>
      <vt:lpstr>GMKg MOPS część 3</vt:lpstr>
      <vt:lpstr>Gmina Miasto Kołobrzeg część 4</vt:lpstr>
      <vt:lpstr>GMKg MOSiR część 5</vt:lpstr>
      <vt:lpstr>Komunikacja Miejska część 6</vt:lpstr>
      <vt:lpstr>Biblioteka Miejska część 7</vt:lpstr>
      <vt:lpstr>RCK część 8</vt:lpstr>
      <vt:lpstr>RAZEM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mpolkowska</dc:creator>
  <cp:lastModifiedBy>Roman Buszac</cp:lastModifiedBy>
  <cp:lastPrinted>2019-12-20T12:29:20Z</cp:lastPrinted>
  <dcterms:created xsi:type="dcterms:W3CDTF">2012-01-04T10:13:03Z</dcterms:created>
  <dcterms:modified xsi:type="dcterms:W3CDTF">2020-02-07T14:17:06Z</dcterms:modified>
</cp:coreProperties>
</file>