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5" yWindow="-135" windowWidth="11745" windowHeight="10080" tabRatio="766" activeTab="2"/>
  </bookViews>
  <sheets>
    <sheet name="PRZEDSZKOLA" sheetId="21" r:id="rId1"/>
    <sheet name="Informacja PM" sheetId="22" r:id="rId2"/>
    <sheet name="OP SP Publ" sheetId="19" r:id="rId3"/>
    <sheet name="Informacja OP SP" sheetId="23" r:id="rId4"/>
  </sheets>
  <calcPr calcId="145621"/>
</workbook>
</file>

<file path=xl/calcChain.xml><?xml version="1.0" encoding="utf-8"?>
<calcChain xmlns="http://schemas.openxmlformats.org/spreadsheetml/2006/main">
  <c r="B13" i="23" l="1"/>
  <c r="B9" i="23"/>
  <c r="B7" i="23"/>
  <c r="B3" i="23"/>
  <c r="B8" i="23"/>
  <c r="B6" i="23"/>
  <c r="B5" i="23"/>
  <c r="B4" i="23"/>
  <c r="B9" i="22"/>
  <c r="I16" i="21"/>
  <c r="C16" i="21"/>
  <c r="B13" i="22"/>
  <c r="B8" i="22"/>
  <c r="B7" i="22"/>
  <c r="B6" i="22"/>
  <c r="B5" i="22"/>
  <c r="B4" i="22"/>
  <c r="B3" i="22"/>
  <c r="B12" i="23" l="1"/>
  <c r="B14" i="23" s="1"/>
  <c r="B18" i="23" s="1"/>
  <c r="B17" i="23"/>
  <c r="B16" i="23"/>
  <c r="B15" i="23"/>
  <c r="B12" i="22"/>
  <c r="B14" i="22" s="1"/>
  <c r="B17" i="22" s="1"/>
  <c r="B15" i="22" l="1"/>
  <c r="B18" i="22"/>
  <c r="B16" i="22"/>
  <c r="L9" i="21" l="1"/>
  <c r="L6" i="21"/>
  <c r="N13" i="19" l="1"/>
  <c r="G8" i="19"/>
  <c r="G6" i="19"/>
  <c r="D9" i="19"/>
  <c r="D8" i="19"/>
  <c r="D7" i="19"/>
  <c r="D6" i="19"/>
  <c r="T12" i="21" l="1"/>
  <c r="T11" i="21"/>
  <c r="T10" i="21"/>
  <c r="T9" i="21"/>
  <c r="T8" i="21"/>
  <c r="T7" i="21"/>
  <c r="T6" i="21"/>
  <c r="I7" i="19" l="1"/>
  <c r="I8" i="19"/>
  <c r="I9" i="19"/>
  <c r="D11" i="19"/>
  <c r="E11" i="19"/>
  <c r="F11" i="19"/>
  <c r="G11" i="19"/>
  <c r="H11" i="19"/>
  <c r="K11" i="19" l="1"/>
  <c r="L11" i="19"/>
  <c r="M11" i="19"/>
  <c r="J11" i="19"/>
  <c r="N9" i="19"/>
  <c r="N8" i="19"/>
  <c r="N7" i="19"/>
  <c r="N6" i="19"/>
  <c r="N11" i="19" l="1"/>
  <c r="I6" i="19"/>
  <c r="S15" i="21" l="1"/>
  <c r="R15" i="21"/>
  <c r="Q15" i="21"/>
  <c r="P15" i="21"/>
  <c r="N15" i="21"/>
  <c r="M15" i="21"/>
  <c r="I15" i="21"/>
  <c r="G15" i="21"/>
  <c r="F15" i="21"/>
  <c r="E15" i="21"/>
  <c r="C15" i="21"/>
  <c r="T13" i="21"/>
  <c r="O13" i="21"/>
  <c r="O12" i="21"/>
  <c r="O11" i="21"/>
  <c r="O10" i="21"/>
  <c r="O9" i="21"/>
  <c r="O8" i="21"/>
  <c r="O7" i="21"/>
  <c r="L15" i="21"/>
  <c r="D15" i="21"/>
  <c r="T15" i="21" l="1"/>
  <c r="O6" i="21"/>
  <c r="O15" i="21" s="1"/>
  <c r="H15" i="21"/>
  <c r="U6" i="21" l="1"/>
  <c r="M24" i="21" s="1"/>
  <c r="O16" i="21"/>
  <c r="O20" i="21" l="1"/>
  <c r="O19" i="21"/>
  <c r="O22" i="21" s="1"/>
  <c r="U15" i="21"/>
  <c r="O25" i="21"/>
  <c r="O24" i="21"/>
  <c r="O27" i="21" s="1"/>
  <c r="O29" i="21"/>
  <c r="O31" i="21" s="1"/>
  <c r="M19" i="21"/>
  <c r="C11" i="19"/>
  <c r="I11" i="19" l="1"/>
  <c r="O6" i="19" l="1"/>
  <c r="I13" i="19" s="1"/>
  <c r="I15" i="19" s="1"/>
</calcChain>
</file>

<file path=xl/sharedStrings.xml><?xml version="1.0" encoding="utf-8"?>
<sst xmlns="http://schemas.openxmlformats.org/spreadsheetml/2006/main" count="110" uniqueCount="76">
  <si>
    <t>Lp.</t>
  </si>
  <si>
    <t>Placówka</t>
  </si>
  <si>
    <t>rozdział 80146</t>
  </si>
  <si>
    <t>Szkoła Podstawowa Nr 5</t>
  </si>
  <si>
    <t>Szkoła Podstawowa Nr 6</t>
  </si>
  <si>
    <t>Szkoła Podstawowa Nr 8</t>
  </si>
  <si>
    <t>Szkoła Podstawowa Nr 9</t>
  </si>
  <si>
    <t xml:space="preserve">    Ogółem</t>
  </si>
  <si>
    <t>Przedszkole Miejskie Nr 1</t>
  </si>
  <si>
    <t>Przedszkole Miejskie Nr 2</t>
  </si>
  <si>
    <t>Przedszkole Miejskie Nr 3</t>
  </si>
  <si>
    <t>Przedszkole Miejskie Nr 6</t>
  </si>
  <si>
    <t>Przedszkole Miejskie Nr 7</t>
  </si>
  <si>
    <t>Przedszkole Miejskie Nr 8</t>
  </si>
  <si>
    <t>Przedszkole Miejskie Nr 10</t>
  </si>
  <si>
    <t>dotacjja z budżetu państwa na wychowanie przedszkolne =</t>
  </si>
  <si>
    <t>kwota do rozliczenia z Gminą Kołobrzeg =</t>
  </si>
  <si>
    <t>koszt utrzymania dziecka w publicznym oddziale przedszkolnym =</t>
  </si>
  <si>
    <t>rozdział 80149</t>
  </si>
  <si>
    <t>rozdział 80103</t>
  </si>
  <si>
    <t>Kwota przyjęta do rozliczenia</t>
  </si>
  <si>
    <t>Liczba uczniów w placówkach według SIO</t>
  </si>
  <si>
    <t>Średni roczny koszt utrzymania 1 ucznia przyjęty do rozliczenia (suma kol. 9/suma kol.10)</t>
  </si>
  <si>
    <t>rozdział        80104</t>
  </si>
  <si>
    <t>rozdział       80146</t>
  </si>
  <si>
    <t>rozdział         80148</t>
  </si>
  <si>
    <t>rozdział         75085</t>
  </si>
  <si>
    <t>za pobyt</t>
  </si>
  <si>
    <t>za wyżywienie</t>
  </si>
  <si>
    <t>liczba uczniów niepeł- nosprawnych</t>
  </si>
  <si>
    <t>dotacja udzielana niepublicznym przedszkolom</t>
  </si>
  <si>
    <t xml:space="preserve">100% dotacja = </t>
  </si>
  <si>
    <t>dotacja udzielana niepublicznym punktom przedszkolnym</t>
  </si>
  <si>
    <t>dotacja udzielana publicznym przedszkolom</t>
  </si>
  <si>
    <t>Centrum Usług Wspólnych</t>
  </si>
  <si>
    <t>WPŁWY, o które pomniejsza się                          podstawę ustalenia dotacji</t>
  </si>
  <si>
    <t>rozdział       80149</t>
  </si>
  <si>
    <t>rozdział       85404</t>
  </si>
  <si>
    <t>wydatki inwestycyjne</t>
  </si>
  <si>
    <t>subwencja 80149</t>
  </si>
  <si>
    <t>środki z UE</t>
  </si>
  <si>
    <t>subwencja 85404</t>
  </si>
  <si>
    <t>75% x</t>
  </si>
  <si>
    <t>kwota do rozliczenia z innymi gminami =</t>
  </si>
  <si>
    <t>40% x</t>
  </si>
  <si>
    <t>rozdział 85404</t>
  </si>
  <si>
    <t>otrzymana subwencja 80149</t>
  </si>
  <si>
    <t>otrzymana subwencja 85404</t>
  </si>
  <si>
    <t>SUMA =  2/3 kol. 10-2/3 kol. 11+1/3 kol. 12 - 1/3 kol. 13</t>
  </si>
  <si>
    <t>Średni roczny koszt utrzymania 1 ucznia przyjęty do rozliczenia (suma kol. 9/suma kol.14)</t>
  </si>
  <si>
    <t>SUMA =  2/3 kol. 16-2/3 kol. 17+1/3 kol. 18 - 1/3 kol. 20</t>
  </si>
  <si>
    <t>PLANOWANE KOSZTY W ROKU 2019 - ODDZIAŁY PRZEDSZKOLNE W SZKOŁACH PODSTAWOWYCH - AKTUALIZACJA KWIECIEŃ 2019</t>
  </si>
  <si>
    <t>Plan  na 2019 r.</t>
  </si>
  <si>
    <t>30.09.2018</t>
  </si>
  <si>
    <t>Planowane wpływy w 2019 r. z tytułu uczęszczania dzieci do oddziałów przedszkolnych w szkołach podstawowych przypadające na Gminę Kołobrzeg:</t>
  </si>
  <si>
    <t>PLANOWANA DOTACJA W ROKU 2019 - PRZEDSZKOLA - AKTUALIZACJA KWIECIEŃ 2019</t>
  </si>
  <si>
    <t>PLANOWANE WYDATKI                                                                                                       Plan finansowy przedszkoli na 30.04.2019 rok wynikający z uchwalonego budżetu miasta Kołobrzeg</t>
  </si>
  <si>
    <t>30.09.20178</t>
  </si>
  <si>
    <t>kwota wydatków bieżących zaplanowanych na prowadzenie przez gminę przedszkoli, z wyłączeniem przedszkoli specjalnych i przedszkoli, w których zaplanowane wydatki bieżące finansowane z użyciem środków pochodzących z budżetu Unii Europejskiej przekraczają wartość 50% ich zaplanowanych wydatków bieżących</t>
  </si>
  <si>
    <t>zaplanowane na rok budżetowy w budżecie gminy opłaty za korzystanie z wychowania przedszkolnego w tych przedszkolach, stanowiące dochody budżetu gminy</t>
  </si>
  <si>
    <t>zaplanowane na rok budżetowy w budżecie gminy opłaty za wyżywienie w tych przedszkolach, stanowiące dochody budżetu gminy</t>
  </si>
  <si>
    <t>suma iloczynów odpowiednich kwot przewidzianych w części oświatowej subwencji ogólnej dla gminy na uczniów niepełnosprawnych w przedszkolach, posiadających orzeczenie o potrzebie kształcenia specjalnego, o którym mowa w art. 127 ust. 10 ustawy - Prawo oświatowe, wydane ze względu na odpowiednie rodzaje niepełnosprawności, oraz statystycznej liczby tych uczniów w tych przedszkolach</t>
  </si>
  <si>
    <t>zaplanowane na rok budżetowy w budżecie gminy wydatki bieżące finansowane z użyciem środków pochodzących z budżetu Unii Europejskiej na prowadzenie tych przedszkoli</t>
  </si>
  <si>
    <t> iloczyn kwoty przewidzianej w części oświatowej subwencji ogólnej dla gminy na dziecko objęte wczesnym wspomaganiem rozwoju w przedszkolu, posiadające opinię o potrzebie wczesnego wspomagania rozwoju dziecka, o której mowa w art. 127 ust. 10 ustawy - Prawo oświatowe, oraz statystycznej liczby tych dzieci w tych przedszkolach</t>
  </si>
  <si>
    <t> iloczyn kwoty przewidzianej w części oświatowej subwencji ogólnej dla gminy na uczestnika zajęć rewalidacyjno-wychowawczych w przedszkolach, posiadającego orzeczenie o potrzebie zajęć rewalidacyjno-wychowawczych, o którym mowa w art. 127 ust. 10 ustawy - Prawo oświatowe, oraz statystycznej liczby uczestników zajęć rewalidacyjno-wychowawczych w tych przedszkolach</t>
  </si>
  <si>
    <t>zaplanowane na rok budżetowy w budżecie gminy wydatki bieżące na programy, o których mowa w art. 90u, w tych przedszkolach</t>
  </si>
  <si>
    <t>suma</t>
  </si>
  <si>
    <t>statystyczna liczba uczniów w przedszkolach, pomniejszona o statystyczną liczbę uczniów niepełnosprawnych w przedszkolach, posiadających orzeczenie o potrzebie kształcenia specjalnego, o którym mowa w art. 127 ust. 10 ustawy - Prawo oświatowe, wydane ze względu na odpowiednie rodzaje niepełnosprawności</t>
  </si>
  <si>
    <t>podstawowa kwota dotacji - roczna  (100%)</t>
  </si>
  <si>
    <t>podstawowa kwota dotacji - miesięczna  (100%)</t>
  </si>
  <si>
    <t>kwota dotacji - 75% miesięczna</t>
  </si>
  <si>
    <t>kwota dotacji - 50% miesięczna</t>
  </si>
  <si>
    <t>kwota dotacji - 40% miesięczna</t>
  </si>
  <si>
    <t>PLANOWANA DOTACJA W ROKU 2019 - PRZEDSZKOLA</t>
  </si>
  <si>
    <t>aktualizacja na 30 kwietnia 2019 roku</t>
  </si>
  <si>
    <t>PLANOWANA DOTACJA W ROKU 2019 - ODDZIAŁY PRZEDSZKOLNE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</si>
</sst>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_ ;[Red]\-#,##0\ "/>
    <numFmt numFmtId="167" formatCode="#,##0.00\ &quot;zł&quot;"/>
    <numFmt numFmtId="168" formatCode="#,###"/>
    <numFmt numFmtId="169" formatCode="#,##0.00\ [$zł-415];[Red]\-#,##0.00\ [$zł-415]"/>
    <numFmt numFmtId="170" formatCode="_-* #,##0.00\ [$zł-415]_-;\-* #,##0.00\ [$zł-415]_-;_-* &quot;-&quot;??\ [$zł-415]_-;_-@_-"/>
  </numFmts>
  <fonts count="44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sz val="12"/>
      <name val="Arial Narrow"/>
      <family val="2"/>
      <charset val="238"/>
    </font>
    <font>
      <sz val="14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6"/>
      <name val="Arial Narrow"/>
      <family val="2"/>
      <charset val="238"/>
    </font>
    <font>
      <sz val="11"/>
      <name val="Calibri"/>
      <family val="2"/>
    </font>
    <font>
      <b/>
      <sz val="16"/>
      <name val="Arial Narrow"/>
      <family val="2"/>
      <charset val="238"/>
    </font>
    <font>
      <b/>
      <sz val="13"/>
      <name val="Arial Narrow"/>
      <family val="2"/>
      <charset val="238"/>
    </font>
    <font>
      <sz val="8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3" fontId="10" fillId="0" borderId="0" applyFont="0" applyFill="0" applyBorder="0" applyAlignment="0" applyProtection="0">
      <alignment vertical="center"/>
    </xf>
    <xf numFmtId="165" fontId="11" fillId="0" borderId="0" applyFont="0" applyFill="0" applyBorder="0" applyAlignment="0" applyProtection="0">
      <alignment vertical="center"/>
    </xf>
    <xf numFmtId="4" fontId="10" fillId="0" borderId="0" applyFont="0" applyFill="0" applyBorder="0" applyAlignment="0" applyProtection="0">
      <alignment vertical="center"/>
    </xf>
    <xf numFmtId="165" fontId="1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0" fillId="0" borderId="0"/>
    <xf numFmtId="0" fontId="16" fillId="20" borderId="1" applyNumberFormat="0" applyAlignment="0" applyProtection="0"/>
    <xf numFmtId="0" fontId="10" fillId="0" borderId="0" applyNumberFormat="0" applyFont="0" applyFill="0" applyBorder="0" applyProtection="0">
      <alignment horizontal="center" vertical="center" textRotation="90" wrapText="1"/>
    </xf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23" borderId="9" applyNumberFormat="0" applyFont="0" applyAlignment="0" applyProtection="0"/>
    <xf numFmtId="4" fontId="10" fillId="0" borderId="0" applyNumberFormat="0" applyFont="0" applyFill="0" applyBorder="0" applyProtection="0">
      <alignment horizontal="center" vertical="center" wrapText="1"/>
    </xf>
    <xf numFmtId="0" fontId="21" fillId="3" borderId="0" applyNumberFormat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0" fontId="37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7">
    <xf numFmtId="0" fontId="0" fillId="0" borderId="0" xfId="0"/>
    <xf numFmtId="0" fontId="25" fillId="0" borderId="0" xfId="0" applyFont="1" applyBorder="1"/>
    <xf numFmtId="0" fontId="25" fillId="0" borderId="0" xfId="0" applyFont="1" applyBorder="1" applyAlignment="1"/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right" vertical="center" wrapText="1"/>
    </xf>
    <xf numFmtId="0" fontId="29" fillId="0" borderId="0" xfId="0" applyFont="1" applyBorder="1"/>
    <xf numFmtId="0" fontId="30" fillId="0" borderId="0" xfId="0" applyFont="1" applyBorder="1"/>
    <xf numFmtId="4" fontId="26" fillId="0" borderId="0" xfId="0" applyNumberFormat="1" applyFont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" fontId="28" fillId="0" borderId="0" xfId="0" applyNumberFormat="1" applyFont="1" applyAlignment="1">
      <alignment vertical="center" wrapText="1"/>
    </xf>
    <xf numFmtId="4" fontId="31" fillId="0" borderId="0" xfId="0" applyNumberFormat="1" applyFont="1" applyAlignment="1">
      <alignment vertical="center" wrapText="1"/>
    </xf>
    <xf numFmtId="0" fontId="31" fillId="0" borderId="0" xfId="0" applyFont="1" applyBorder="1"/>
    <xf numFmtId="0" fontId="33" fillId="0" borderId="0" xfId="0" applyFont="1" applyBorder="1"/>
    <xf numFmtId="2" fontId="31" fillId="0" borderId="0" xfId="0" applyNumberFormat="1" applyFont="1" applyBorder="1"/>
    <xf numFmtId="2" fontId="32" fillId="0" borderId="0" xfId="0" applyNumberFormat="1" applyFont="1" applyBorder="1"/>
    <xf numFmtId="0" fontId="34" fillId="0" borderId="0" xfId="0" applyFont="1" applyBorder="1"/>
    <xf numFmtId="0" fontId="36" fillId="0" borderId="0" xfId="0" applyFont="1" applyBorder="1"/>
    <xf numFmtId="43" fontId="33" fillId="0" borderId="0" xfId="0" applyNumberFormat="1" applyFont="1" applyBorder="1"/>
    <xf numFmtId="49" fontId="31" fillId="0" borderId="0" xfId="0" applyNumberFormat="1" applyFont="1" applyAlignment="1">
      <alignment horizontal="right" vertical="center" wrapText="1"/>
    </xf>
    <xf numFmtId="0" fontId="40" fillId="0" borderId="0" xfId="0" applyFont="1" applyBorder="1"/>
    <xf numFmtId="0" fontId="40" fillId="0" borderId="0" xfId="0" applyFont="1" applyBorder="1" applyAlignment="1"/>
    <xf numFmtId="0" fontId="34" fillId="0" borderId="36" xfId="0" applyFont="1" applyBorder="1" applyAlignment="1">
      <alignment horizontal="left" vertical="center" wrapText="1"/>
    </xf>
    <xf numFmtId="3" fontId="34" fillId="0" borderId="16" xfId="0" applyNumberFormat="1" applyFont="1" applyBorder="1" applyAlignment="1">
      <alignment horizontal="center" vertical="center" wrapText="1"/>
    </xf>
    <xf numFmtId="4" fontId="34" fillId="0" borderId="16" xfId="0" applyNumberFormat="1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34" fillId="0" borderId="44" xfId="0" applyFont="1" applyBorder="1" applyAlignment="1">
      <alignment horizontal="left" vertical="center" wrapText="1"/>
    </xf>
    <xf numFmtId="3" fontId="34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right" wrapText="1"/>
    </xf>
    <xf numFmtId="49" fontId="31" fillId="0" borderId="0" xfId="0" applyNumberFormat="1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vertical="center" wrapText="1"/>
    </xf>
    <xf numFmtId="49" fontId="31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vertical="center" wrapText="1"/>
    </xf>
    <xf numFmtId="49" fontId="31" fillId="0" borderId="0" xfId="0" applyNumberFormat="1" applyFont="1" applyBorder="1" applyAlignment="1">
      <alignment horizontal="right" vertical="center" wrapText="1"/>
    </xf>
    <xf numFmtId="4" fontId="31" fillId="0" borderId="0" xfId="0" applyNumberFormat="1" applyFont="1" applyBorder="1" applyAlignment="1">
      <alignment vertical="center" wrapText="1"/>
    </xf>
    <xf numFmtId="4" fontId="31" fillId="0" borderId="0" xfId="0" applyNumberFormat="1" applyFont="1" applyBorder="1"/>
    <xf numFmtId="4" fontId="32" fillId="0" borderId="0" xfId="0" applyNumberFormat="1" applyFont="1" applyBorder="1"/>
    <xf numFmtId="49" fontId="31" fillId="0" borderId="0" xfId="0" applyNumberFormat="1" applyFont="1" applyAlignment="1">
      <alignment horizontal="right" vertical="center" wrapText="1"/>
    </xf>
    <xf numFmtId="3" fontId="24" fillId="24" borderId="10" xfId="0" applyNumberFormat="1" applyFont="1" applyFill="1" applyBorder="1" applyAlignment="1">
      <alignment vertical="center" wrapText="1"/>
    </xf>
    <xf numFmtId="49" fontId="28" fillId="0" borderId="0" xfId="0" applyNumberFormat="1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wrapText="1"/>
    </xf>
    <xf numFmtId="0" fontId="25" fillId="0" borderId="16" xfId="0" applyFont="1" applyBorder="1" applyAlignment="1">
      <alignment horizontal="center" vertical="top" wrapText="1"/>
    </xf>
    <xf numFmtId="49" fontId="40" fillId="24" borderId="10" xfId="0" applyNumberFormat="1" applyFont="1" applyFill="1" applyBorder="1" applyAlignment="1">
      <alignment horizontal="center" vertical="center" textRotation="90" wrapText="1"/>
    </xf>
    <xf numFmtId="0" fontId="40" fillId="24" borderId="10" xfId="0" applyFont="1" applyFill="1" applyBorder="1" applyAlignment="1">
      <alignment horizontal="center" vertical="center" textRotation="90" wrapText="1"/>
    </xf>
    <xf numFmtId="3" fontId="35" fillId="24" borderId="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24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4" fontId="35" fillId="0" borderId="16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vertical="center"/>
    </xf>
    <xf numFmtId="14" fontId="40" fillId="24" borderId="10" xfId="0" applyNumberFormat="1" applyFont="1" applyFill="1" applyBorder="1" applyAlignment="1">
      <alignment horizontal="center" vertical="center" textRotation="90" wrapText="1"/>
    </xf>
    <xf numFmtId="3" fontId="35" fillId="0" borderId="51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wrapText="1"/>
    </xf>
    <xf numFmtId="3" fontId="25" fillId="0" borderId="10" xfId="39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center" wrapText="1"/>
    </xf>
    <xf numFmtId="3" fontId="25" fillId="0" borderId="37" xfId="0" applyNumberFormat="1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38" xfId="0" applyNumberFormat="1" applyFont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3" fontId="25" fillId="0" borderId="16" xfId="0" applyNumberFormat="1" applyFont="1" applyBorder="1" applyAlignment="1">
      <alignment horizontal="right" vertical="center" wrapText="1"/>
    </xf>
    <xf numFmtId="168" fontId="25" fillId="0" borderId="10" xfId="50" applyNumberFormat="1" applyFont="1" applyBorder="1"/>
    <xf numFmtId="0" fontId="25" fillId="0" borderId="39" xfId="0" applyFont="1" applyBorder="1" applyAlignment="1">
      <alignment horizontal="center" vertical="center" wrapText="1"/>
    </xf>
    <xf numFmtId="3" fontId="25" fillId="0" borderId="41" xfId="0" applyNumberFormat="1" applyFont="1" applyBorder="1" applyAlignment="1">
      <alignment vertical="center"/>
    </xf>
    <xf numFmtId="3" fontId="25" fillId="0" borderId="42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0" fontId="25" fillId="0" borderId="43" xfId="0" applyFont="1" applyBorder="1" applyAlignment="1">
      <alignment horizontal="center" vertical="center" wrapText="1"/>
    </xf>
    <xf numFmtId="3" fontId="25" fillId="0" borderId="45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7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horizontal="right" vertical="center" wrapText="1"/>
    </xf>
    <xf numFmtId="3" fontId="25" fillId="0" borderId="46" xfId="0" applyNumberFormat="1" applyFont="1" applyBorder="1" applyAlignment="1">
      <alignment horizontal="center" vertical="center" wrapText="1"/>
    </xf>
    <xf numFmtId="3" fontId="24" fillId="24" borderId="33" xfId="0" applyNumberFormat="1" applyFont="1" applyFill="1" applyBorder="1" applyAlignment="1">
      <alignment vertical="center" wrapText="1"/>
    </xf>
    <xf numFmtId="3" fontId="24" fillId="24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Border="1" applyAlignment="1">
      <alignment horizontal="center" vertical="center" wrapText="1"/>
    </xf>
    <xf numFmtId="4" fontId="24" fillId="24" borderId="34" xfId="0" applyNumberFormat="1" applyFont="1" applyFill="1" applyBorder="1" applyAlignment="1">
      <alignment horizontal="center" vertical="center" wrapText="1"/>
    </xf>
    <xf numFmtId="0" fontId="34" fillId="24" borderId="30" xfId="0" applyFont="1" applyFill="1" applyBorder="1" applyAlignment="1">
      <alignment horizontal="center" vertical="center" textRotation="90" wrapText="1"/>
    </xf>
    <xf numFmtId="0" fontId="34" fillId="24" borderId="11" xfId="0" applyFont="1" applyFill="1" applyBorder="1" applyAlignment="1">
      <alignment horizontal="center" vertical="center" textRotation="90" wrapText="1"/>
    </xf>
    <xf numFmtId="0" fontId="34" fillId="24" borderId="31" xfId="0" applyFont="1" applyFill="1" applyBorder="1" applyAlignment="1">
      <alignment horizontal="center" vertical="center" textRotation="90" wrapText="1"/>
    </xf>
    <xf numFmtId="0" fontId="34" fillId="24" borderId="13" xfId="0" applyFont="1" applyFill="1" applyBorder="1" applyAlignment="1">
      <alignment horizontal="center" vertical="center" textRotation="90" wrapText="1"/>
    </xf>
    <xf numFmtId="49" fontId="34" fillId="24" borderId="30" xfId="0" applyNumberFormat="1" applyFont="1" applyFill="1" applyBorder="1" applyAlignment="1">
      <alignment horizontal="center" vertical="center" textRotation="90" wrapText="1"/>
    </xf>
    <xf numFmtId="4" fontId="25" fillId="0" borderId="11" xfId="39" applyNumberFormat="1" applyFont="1" applyBorder="1" applyAlignment="1">
      <alignment horizontal="right" vertical="center" wrapText="1"/>
    </xf>
    <xf numFmtId="4" fontId="25" fillId="0" borderId="10" xfId="39" applyNumberFormat="1" applyFont="1" applyBorder="1" applyAlignment="1">
      <alignment horizontal="right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169" fontId="22" fillId="0" borderId="10" xfId="0" applyNumberFormat="1" applyFont="1" applyBorder="1" applyAlignment="1">
      <alignment vertical="center"/>
    </xf>
    <xf numFmtId="170" fontId="22" fillId="0" borderId="0" xfId="0" applyNumberFormat="1" applyFont="1" applyAlignment="1">
      <alignment vertical="center"/>
    </xf>
    <xf numFmtId="0" fontId="42" fillId="0" borderId="10" xfId="0" applyFont="1" applyBorder="1" applyAlignment="1">
      <alignment vertical="center" wrapText="1"/>
    </xf>
    <xf numFmtId="169" fontId="1" fillId="0" borderId="10" xfId="0" applyNumberFormat="1" applyFont="1" applyBorder="1" applyAlignment="1">
      <alignment vertical="center"/>
    </xf>
    <xf numFmtId="17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9" fontId="22" fillId="0" borderId="0" xfId="0" applyNumberFormat="1" applyFont="1" applyAlignment="1">
      <alignment vertical="center"/>
    </xf>
    <xf numFmtId="49" fontId="25" fillId="24" borderId="10" xfId="0" applyNumberFormat="1" applyFont="1" applyFill="1" applyBorder="1" applyAlignment="1">
      <alignment horizontal="center" vertical="center" textRotation="90" wrapText="1"/>
    </xf>
    <xf numFmtId="0" fontId="24" fillId="24" borderId="10" xfId="0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textRotation="90" wrapText="1"/>
    </xf>
    <xf numFmtId="49" fontId="25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49" fontId="31" fillId="0" borderId="0" xfId="0" applyNumberFormat="1" applyFont="1" applyAlignment="1">
      <alignment horizontal="right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4" fontId="25" fillId="0" borderId="50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49" fontId="40" fillId="24" borderId="10" xfId="0" applyNumberFormat="1" applyFont="1" applyFill="1" applyBorder="1" applyAlignment="1">
      <alignment horizontal="center" vertical="center" textRotation="90" wrapText="1"/>
    </xf>
    <xf numFmtId="0" fontId="27" fillId="0" borderId="14" xfId="0" applyFont="1" applyBorder="1" applyAlignment="1">
      <alignment horizontal="center" vertical="center"/>
    </xf>
    <xf numFmtId="49" fontId="40" fillId="24" borderId="18" xfId="0" applyNumberFormat="1" applyFont="1" applyFill="1" applyBorder="1" applyAlignment="1">
      <alignment horizontal="center" vertical="center" textRotation="90" wrapText="1"/>
    </xf>
    <xf numFmtId="49" fontId="40" fillId="24" borderId="20" xfId="0" applyNumberFormat="1" applyFont="1" applyFill="1" applyBorder="1" applyAlignment="1">
      <alignment horizontal="center" vertical="center" textRotation="90" wrapText="1"/>
    </xf>
    <xf numFmtId="49" fontId="40" fillId="24" borderId="13" xfId="0" applyNumberFormat="1" applyFont="1" applyFill="1" applyBorder="1" applyAlignment="1">
      <alignment horizontal="center" vertical="center" textRotation="90" wrapText="1"/>
    </xf>
    <xf numFmtId="49" fontId="40" fillId="24" borderId="19" xfId="0" applyNumberFormat="1" applyFont="1" applyFill="1" applyBorder="1" applyAlignment="1">
      <alignment horizontal="center" vertical="center" textRotation="90" wrapText="1"/>
    </xf>
    <xf numFmtId="49" fontId="40" fillId="24" borderId="14" xfId="0" applyNumberFormat="1" applyFont="1" applyFill="1" applyBorder="1" applyAlignment="1">
      <alignment horizontal="center" vertical="center" textRotation="90" wrapText="1"/>
    </xf>
    <xf numFmtId="49" fontId="40" fillId="24" borderId="21" xfId="0" applyNumberFormat="1" applyFont="1" applyFill="1" applyBorder="1" applyAlignment="1">
      <alignment horizontal="center" vertical="center" textRotation="90" wrapText="1"/>
    </xf>
    <xf numFmtId="49" fontId="28" fillId="0" borderId="0" xfId="0" applyNumberFormat="1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right" vertical="center" wrapText="1"/>
    </xf>
    <xf numFmtId="167" fontId="31" fillId="0" borderId="0" xfId="0" applyNumberFormat="1" applyFont="1" applyBorder="1" applyAlignment="1">
      <alignment horizontal="center" vertical="center" wrapText="1"/>
    </xf>
    <xf numFmtId="4" fontId="24" fillId="0" borderId="38" xfId="0" applyNumberFormat="1" applyFont="1" applyBorder="1" applyAlignment="1">
      <alignment horizontal="center" vertical="center" wrapText="1"/>
    </xf>
    <xf numFmtId="4" fontId="24" fillId="0" borderId="42" xfId="0" applyNumberFormat="1" applyFont="1" applyBorder="1" applyAlignment="1">
      <alignment horizontal="center" vertical="center" wrapText="1"/>
    </xf>
    <xf numFmtId="4" fontId="24" fillId="0" borderId="47" xfId="0" applyNumberFormat="1" applyFont="1" applyBorder="1" applyAlignment="1">
      <alignment horizontal="center" vertical="center" wrapText="1"/>
    </xf>
    <xf numFmtId="167" fontId="31" fillId="0" borderId="0" xfId="49" applyNumberFormat="1" applyFont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3" fontId="24" fillId="24" borderId="32" xfId="0" applyNumberFormat="1" applyFont="1" applyFill="1" applyBorder="1" applyAlignment="1">
      <alignment vertical="center" wrapText="1"/>
    </xf>
    <xf numFmtId="3" fontId="24" fillId="24" borderId="33" xfId="0" applyNumberFormat="1" applyFont="1" applyFill="1" applyBorder="1" applyAlignment="1">
      <alignment vertical="center" wrapText="1"/>
    </xf>
    <xf numFmtId="3" fontId="35" fillId="0" borderId="32" xfId="0" applyNumberFormat="1" applyFont="1" applyBorder="1" applyAlignment="1">
      <alignment horizontal="center" vertical="center"/>
    </xf>
    <xf numFmtId="3" fontId="35" fillId="0" borderId="33" xfId="0" applyNumberFormat="1" applyFont="1" applyBorder="1" applyAlignment="1">
      <alignment horizontal="center" vertical="center"/>
    </xf>
    <xf numFmtId="3" fontId="35" fillId="0" borderId="34" xfId="0" applyNumberFormat="1" applyFont="1" applyBorder="1" applyAlignment="1">
      <alignment horizontal="center" vertical="center"/>
    </xf>
    <xf numFmtId="3" fontId="35" fillId="0" borderId="49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49" fontId="25" fillId="24" borderId="22" xfId="0" applyNumberFormat="1" applyFont="1" applyFill="1" applyBorder="1" applyAlignment="1">
      <alignment horizontal="center" vertical="center" wrapText="1"/>
    </xf>
    <xf numFmtId="49" fontId="25" fillId="24" borderId="28" xfId="0" applyNumberFormat="1" applyFont="1" applyFill="1" applyBorder="1" applyAlignment="1">
      <alignment horizontal="center" vertical="center" wrapText="1"/>
    </xf>
    <xf numFmtId="49" fontId="25" fillId="24" borderId="23" xfId="0" applyNumberFormat="1" applyFont="1" applyFill="1" applyBorder="1" applyAlignment="1">
      <alignment horizontal="center" vertical="center" wrapText="1"/>
    </xf>
    <xf numFmtId="49" fontId="25" fillId="24" borderId="29" xfId="0" applyNumberFormat="1" applyFont="1" applyFill="1" applyBorder="1" applyAlignment="1">
      <alignment horizontal="center" vertical="center" wrapText="1"/>
    </xf>
    <xf numFmtId="49" fontId="35" fillId="24" borderId="24" xfId="0" applyNumberFormat="1" applyFont="1" applyFill="1" applyBorder="1" applyAlignment="1">
      <alignment horizontal="center" vertical="center" wrapText="1"/>
    </xf>
    <xf numFmtId="49" fontId="35" fillId="24" borderId="25" xfId="0" applyNumberFormat="1" applyFont="1" applyFill="1" applyBorder="1" applyAlignment="1">
      <alignment horizontal="center" vertical="center" wrapText="1"/>
    </xf>
    <xf numFmtId="49" fontId="35" fillId="24" borderId="26" xfId="0" applyNumberFormat="1" applyFont="1" applyFill="1" applyBorder="1" applyAlignment="1">
      <alignment horizontal="center" vertical="center" wrapText="1"/>
    </xf>
    <xf numFmtId="49" fontId="35" fillId="24" borderId="27" xfId="0" applyNumberFormat="1" applyFont="1" applyFill="1" applyBorder="1" applyAlignment="1">
      <alignment horizontal="center" vertical="center" wrapText="1"/>
    </xf>
    <xf numFmtId="49" fontId="34" fillId="24" borderId="23" xfId="0" applyNumberFormat="1" applyFont="1" applyFill="1" applyBorder="1" applyAlignment="1">
      <alignment horizontal="center" vertical="center" textRotation="90" wrapText="1"/>
    </xf>
    <xf numFmtId="49" fontId="34" fillId="24" borderId="29" xfId="0" applyNumberFormat="1" applyFont="1" applyFill="1" applyBorder="1" applyAlignment="1">
      <alignment horizontal="center" vertical="center" textRotation="90" wrapText="1"/>
    </xf>
    <xf numFmtId="49" fontId="34" fillId="24" borderId="24" xfId="0" applyNumberFormat="1" applyFont="1" applyFill="1" applyBorder="1" applyAlignment="1">
      <alignment horizontal="center" vertical="center" wrapText="1"/>
    </xf>
    <xf numFmtId="49" fontId="34" fillId="24" borderId="25" xfId="0" applyNumberFormat="1" applyFont="1" applyFill="1" applyBorder="1" applyAlignment="1">
      <alignment horizontal="center" vertical="center" wrapText="1"/>
    </xf>
    <xf numFmtId="49" fontId="34" fillId="24" borderId="26" xfId="0" applyNumberFormat="1" applyFont="1" applyFill="1" applyBorder="1" applyAlignment="1">
      <alignment horizontal="center" vertical="center" textRotation="90" wrapText="1"/>
    </xf>
    <xf numFmtId="49" fontId="34" fillId="24" borderId="31" xfId="0" applyNumberFormat="1" applyFont="1" applyFill="1" applyBorder="1" applyAlignment="1">
      <alignment horizontal="center" vertical="center" textRotation="90" wrapText="1"/>
    </xf>
    <xf numFmtId="0" fontId="38" fillId="0" borderId="14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</cellXfs>
  <cellStyles count="57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Comma" xfId="52"/>
    <cellStyle name="Comma [0]" xfId="53"/>
    <cellStyle name="Currency" xfId="54"/>
    <cellStyle name="Currency [0]" xfId="55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49" builtinId="3"/>
    <cellStyle name="Komórka połączona" xfId="28" builtinId="24" customBuiltin="1"/>
    <cellStyle name="Komórka zaznaczona" xfId="29" builtinId="23" customBuiltin="1"/>
    <cellStyle name="Liczbowy 0" xfId="30"/>
    <cellStyle name="Liczbowy 0 (czerwony -)" xfId="31"/>
    <cellStyle name="Liczbowy 2" xfId="32"/>
    <cellStyle name="Liczbowy 2 (czerwony -)" xfId="33"/>
    <cellStyle name="Nagłówek 1" xfId="34" builtinId="16" customBuiltin="1"/>
    <cellStyle name="Nagłówek 2" xfId="35" builtinId="17" customBuiltin="1"/>
    <cellStyle name="Nagłówek 3" xfId="36" builtinId="18" customBuiltin="1"/>
    <cellStyle name="Nagłówek 4" xfId="37" builtinId="19" customBuiltin="1"/>
    <cellStyle name="Neutralne" xfId="38" builtinId="28" customBuiltin="1"/>
    <cellStyle name="Normal" xfId="51"/>
    <cellStyle name="Normalny" xfId="0" builtinId="0"/>
    <cellStyle name="Normalny 2" xfId="39"/>
    <cellStyle name="Normalny 3" xfId="50"/>
    <cellStyle name="Obliczenia" xfId="40" builtinId="22" customBuiltin="1"/>
    <cellStyle name="Percent" xfId="56"/>
    <cellStyle name="Pionowy zawijany" xfId="41"/>
    <cellStyle name="Suma" xfId="42" builtinId="25" customBuiltin="1"/>
    <cellStyle name="Tekst objaśnienia" xfId="43" builtinId="53" customBuiltin="1"/>
    <cellStyle name="Tekst ostrzeżenia" xfId="44" builtinId="11" customBuiltin="1"/>
    <cellStyle name="Tytuł" xfId="45" builtinId="15" customBuiltin="1"/>
    <cellStyle name="Uwaga" xfId="46" builtinId="10" customBuiltin="1"/>
    <cellStyle name="Zawijany" xfId="47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zoomScale="120" zoomScaleNormal="120" workbookViewId="0">
      <selection activeCell="A18" sqref="A18:N18"/>
    </sheetView>
  </sheetViews>
  <sheetFormatPr defaultColWidth="10.42578125" defaultRowHeight="12.75"/>
  <cols>
    <col min="1" max="1" width="3" style="1" bestFit="1" customWidth="1"/>
    <col min="2" max="2" width="17.85546875" style="1" customWidth="1"/>
    <col min="3" max="3" width="8.7109375" style="1" bestFit="1" customWidth="1"/>
    <col min="4" max="4" width="5.85546875" style="1" bestFit="1" customWidth="1"/>
    <col min="5" max="6" width="7.85546875" style="1" bestFit="1" customWidth="1"/>
    <col min="7" max="8" width="6.5703125" style="1" bestFit="1" customWidth="1"/>
    <col min="9" max="9" width="5.85546875" style="1" bestFit="1" customWidth="1"/>
    <col min="10" max="10" width="3.42578125" style="1" bestFit="1" customWidth="1"/>
    <col min="11" max="11" width="5.85546875" style="1" bestFit="1" customWidth="1"/>
    <col min="12" max="12" width="7.85546875" style="1" bestFit="1" customWidth="1"/>
    <col min="13" max="13" width="3.42578125" style="1" bestFit="1" customWidth="1"/>
    <col min="14" max="14" width="6.7109375" style="1" customWidth="1"/>
    <col min="15" max="15" width="9" style="1" customWidth="1"/>
    <col min="16" max="16" width="4.85546875" style="1" bestFit="1" customWidth="1"/>
    <col min="17" max="17" width="8.28515625" style="1" bestFit="1" customWidth="1"/>
    <col min="18" max="18" width="4.85546875" style="1" bestFit="1" customWidth="1"/>
    <col min="19" max="19" width="8.28515625" style="1" bestFit="1" customWidth="1"/>
    <col min="20" max="20" width="6.5703125" style="1" customWidth="1"/>
    <col min="21" max="21" width="11.85546875" style="1" customWidth="1"/>
    <col min="22" max="16384" width="10.42578125" style="1"/>
  </cols>
  <sheetData>
    <row r="1" spans="1:21" s="7" customFormat="1" ht="39" customHeight="1">
      <c r="A1" s="139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s="7" customFormat="1" ht="3.75" customHeight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1" s="20" customFormat="1" ht="51.75" customHeight="1">
      <c r="A3" s="141" t="s">
        <v>0</v>
      </c>
      <c r="B3" s="143" t="s">
        <v>1</v>
      </c>
      <c r="C3" s="145" t="s">
        <v>56</v>
      </c>
      <c r="D3" s="146"/>
      <c r="E3" s="146"/>
      <c r="F3" s="146"/>
      <c r="G3" s="146"/>
      <c r="H3" s="147"/>
      <c r="I3" s="148" t="s">
        <v>35</v>
      </c>
      <c r="J3" s="148"/>
      <c r="K3" s="148"/>
      <c r="L3" s="146"/>
      <c r="M3" s="146"/>
      <c r="N3" s="146"/>
      <c r="O3" s="149" t="s">
        <v>20</v>
      </c>
      <c r="P3" s="151" t="s">
        <v>21</v>
      </c>
      <c r="Q3" s="152"/>
      <c r="R3" s="152"/>
      <c r="S3" s="152"/>
      <c r="T3" s="153" t="s">
        <v>50</v>
      </c>
      <c r="U3" s="149" t="s">
        <v>22</v>
      </c>
    </row>
    <row r="4" spans="1:21" s="21" customFormat="1" ht="50.25" customHeight="1" thickBot="1">
      <c r="A4" s="142"/>
      <c r="B4" s="144"/>
      <c r="C4" s="83" t="s">
        <v>23</v>
      </c>
      <c r="D4" s="84" t="s">
        <v>24</v>
      </c>
      <c r="E4" s="84" t="s">
        <v>25</v>
      </c>
      <c r="F4" s="84" t="s">
        <v>36</v>
      </c>
      <c r="G4" s="84" t="s">
        <v>37</v>
      </c>
      <c r="H4" s="85" t="s">
        <v>26</v>
      </c>
      <c r="I4" s="86" t="s">
        <v>38</v>
      </c>
      <c r="J4" s="84" t="s">
        <v>27</v>
      </c>
      <c r="K4" s="85" t="s">
        <v>28</v>
      </c>
      <c r="L4" s="84" t="s">
        <v>39</v>
      </c>
      <c r="M4" s="84" t="s">
        <v>40</v>
      </c>
      <c r="N4" s="84" t="s">
        <v>41</v>
      </c>
      <c r="O4" s="150"/>
      <c r="P4" s="87" t="s">
        <v>53</v>
      </c>
      <c r="Q4" s="84" t="s">
        <v>29</v>
      </c>
      <c r="R4" s="84" t="s">
        <v>57</v>
      </c>
      <c r="S4" s="84" t="s">
        <v>29</v>
      </c>
      <c r="T4" s="154"/>
      <c r="U4" s="150"/>
    </row>
    <row r="5" spans="1:21" s="17" customFormat="1" ht="13.5" thickBot="1">
      <c r="A5" s="58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  <c r="K5" s="59">
        <v>11</v>
      </c>
      <c r="L5" s="59">
        <v>12</v>
      </c>
      <c r="M5" s="59">
        <v>13</v>
      </c>
      <c r="N5" s="59">
        <v>14</v>
      </c>
      <c r="O5" s="59">
        <v>15</v>
      </c>
      <c r="P5" s="59">
        <v>16</v>
      </c>
      <c r="Q5" s="59">
        <v>17</v>
      </c>
      <c r="R5" s="59">
        <v>18</v>
      </c>
      <c r="S5" s="59">
        <v>19</v>
      </c>
      <c r="T5" s="60">
        <v>20</v>
      </c>
      <c r="U5" s="59">
        <v>21</v>
      </c>
    </row>
    <row r="6" spans="1:21" s="16" customFormat="1" ht="13.5">
      <c r="A6" s="61">
        <v>1</v>
      </c>
      <c r="B6" s="22" t="s">
        <v>8</v>
      </c>
      <c r="C6" s="62">
        <v>1742530</v>
      </c>
      <c r="D6" s="63">
        <v>11710</v>
      </c>
      <c r="E6" s="63">
        <v>176658</v>
      </c>
      <c r="F6" s="63">
        <v>355239</v>
      </c>
      <c r="G6" s="63">
        <v>56724</v>
      </c>
      <c r="H6" s="64"/>
      <c r="I6" s="65"/>
      <c r="J6" s="63"/>
      <c r="K6" s="63"/>
      <c r="L6" s="63">
        <f>519047.38+110912.23+39338.33</f>
        <v>669297.93999999994</v>
      </c>
      <c r="M6" s="63"/>
      <c r="N6" s="63">
        <v>110147.32</v>
      </c>
      <c r="O6" s="66">
        <f t="shared" ref="O6:O13" si="0">SUM(C6:H6)-SUM(I6:N6)</f>
        <v>1563415.74</v>
      </c>
      <c r="P6" s="67">
        <v>144</v>
      </c>
      <c r="Q6" s="57">
        <v>19</v>
      </c>
      <c r="R6" s="67">
        <v>144</v>
      </c>
      <c r="S6" s="57">
        <v>19</v>
      </c>
      <c r="T6" s="88">
        <f xml:space="preserve"> P6*2/3+R6*1/3-Q6*2/3-S6*1/3</f>
        <v>125.00000000000001</v>
      </c>
      <c r="U6" s="128">
        <f>ROUND(O15/T15,2)</f>
        <v>13439.21</v>
      </c>
    </row>
    <row r="7" spans="1:21" s="16" customFormat="1" ht="13.5">
      <c r="A7" s="68">
        <v>2</v>
      </c>
      <c r="B7" s="25" t="s">
        <v>9</v>
      </c>
      <c r="C7" s="69">
        <v>1635803</v>
      </c>
      <c r="D7" s="4">
        <v>7542</v>
      </c>
      <c r="E7" s="4">
        <v>187442</v>
      </c>
      <c r="F7" s="4">
        <v>32453</v>
      </c>
      <c r="G7" s="4">
        <v>7789</v>
      </c>
      <c r="H7" s="70"/>
      <c r="I7" s="71"/>
      <c r="J7" s="4"/>
      <c r="K7" s="4"/>
      <c r="L7" s="4">
        <v>15844.6</v>
      </c>
      <c r="M7" s="4"/>
      <c r="N7" s="4">
        <v>4589.47</v>
      </c>
      <c r="O7" s="5">
        <f t="shared" si="0"/>
        <v>1850594.93</v>
      </c>
      <c r="P7" s="67">
        <v>134</v>
      </c>
      <c r="Q7" s="57">
        <v>1</v>
      </c>
      <c r="R7" s="67">
        <v>134</v>
      </c>
      <c r="S7" s="57">
        <v>1</v>
      </c>
      <c r="T7" s="88">
        <f t="shared" ref="T7:T12" si="1" xml:space="preserve"> P7*2/3+R7*1/3-Q7*2/3-S7*1/3</f>
        <v>133</v>
      </c>
      <c r="U7" s="129"/>
    </row>
    <row r="8" spans="1:21" s="16" customFormat="1" ht="13.5">
      <c r="A8" s="68">
        <v>3</v>
      </c>
      <c r="B8" s="25" t="s">
        <v>10</v>
      </c>
      <c r="C8" s="69">
        <v>1468009</v>
      </c>
      <c r="D8" s="4">
        <v>6547</v>
      </c>
      <c r="E8" s="4">
        <v>154029</v>
      </c>
      <c r="F8" s="4">
        <v>15500</v>
      </c>
      <c r="G8" s="4">
        <v>4500</v>
      </c>
      <c r="H8" s="70"/>
      <c r="I8" s="71"/>
      <c r="J8" s="4"/>
      <c r="K8" s="4"/>
      <c r="L8" s="4">
        <v>15844.6</v>
      </c>
      <c r="M8" s="4"/>
      <c r="N8" s="4">
        <v>4589.47</v>
      </c>
      <c r="O8" s="5">
        <f t="shared" si="0"/>
        <v>1628150.93</v>
      </c>
      <c r="P8" s="67">
        <v>119</v>
      </c>
      <c r="Q8" s="57">
        <v>1</v>
      </c>
      <c r="R8" s="67">
        <v>119</v>
      </c>
      <c r="S8" s="57">
        <v>1</v>
      </c>
      <c r="T8" s="88">
        <f t="shared" si="1"/>
        <v>118</v>
      </c>
      <c r="U8" s="129"/>
    </row>
    <row r="9" spans="1:21" s="16" customFormat="1" ht="13.5">
      <c r="A9" s="68">
        <v>4</v>
      </c>
      <c r="B9" s="25" t="s">
        <v>11</v>
      </c>
      <c r="C9" s="69">
        <v>1503401</v>
      </c>
      <c r="D9" s="4">
        <v>11540</v>
      </c>
      <c r="E9" s="4">
        <v>171613</v>
      </c>
      <c r="F9" s="4">
        <v>579586</v>
      </c>
      <c r="G9" s="4">
        <v>111750</v>
      </c>
      <c r="H9" s="70"/>
      <c r="I9" s="71"/>
      <c r="J9" s="4"/>
      <c r="K9" s="4"/>
      <c r="L9" s="4">
        <f>674761.6+79223.02+39338.33</f>
        <v>793322.95</v>
      </c>
      <c r="M9" s="4"/>
      <c r="N9" s="4">
        <v>119326.26</v>
      </c>
      <c r="O9" s="5">
        <f t="shared" si="0"/>
        <v>1465240.79</v>
      </c>
      <c r="P9" s="67">
        <v>95</v>
      </c>
      <c r="Q9" s="57">
        <v>20</v>
      </c>
      <c r="R9" s="67">
        <v>95</v>
      </c>
      <c r="S9" s="57">
        <v>20</v>
      </c>
      <c r="T9" s="88">
        <f t="shared" si="1"/>
        <v>75</v>
      </c>
      <c r="U9" s="129"/>
    </row>
    <row r="10" spans="1:21" s="16" customFormat="1" ht="13.5">
      <c r="A10" s="68">
        <v>5</v>
      </c>
      <c r="B10" s="25" t="s">
        <v>12</v>
      </c>
      <c r="C10" s="69">
        <v>1882998</v>
      </c>
      <c r="D10" s="4">
        <v>8694</v>
      </c>
      <c r="E10" s="4">
        <v>190201</v>
      </c>
      <c r="F10" s="4"/>
      <c r="G10" s="4"/>
      <c r="H10" s="70"/>
      <c r="I10" s="71"/>
      <c r="J10" s="4"/>
      <c r="K10" s="4"/>
      <c r="L10" s="4"/>
      <c r="M10" s="4"/>
      <c r="N10" s="4"/>
      <c r="O10" s="5">
        <f t="shared" si="0"/>
        <v>2081893</v>
      </c>
      <c r="P10" s="67">
        <v>188</v>
      </c>
      <c r="Q10" s="57">
        <v>0</v>
      </c>
      <c r="R10" s="67">
        <v>188</v>
      </c>
      <c r="S10" s="57">
        <v>0</v>
      </c>
      <c r="T10" s="88">
        <f t="shared" si="1"/>
        <v>188</v>
      </c>
      <c r="U10" s="129"/>
    </row>
    <row r="11" spans="1:21" s="16" customFormat="1" ht="13.5">
      <c r="A11" s="68">
        <v>6</v>
      </c>
      <c r="B11" s="25" t="s">
        <v>13</v>
      </c>
      <c r="C11" s="69">
        <v>1807313</v>
      </c>
      <c r="D11" s="4">
        <v>8444</v>
      </c>
      <c r="E11" s="4">
        <v>187017</v>
      </c>
      <c r="F11" s="4">
        <v>95965</v>
      </c>
      <c r="G11" s="4">
        <v>4500</v>
      </c>
      <c r="H11" s="70"/>
      <c r="I11" s="71"/>
      <c r="J11" s="4"/>
      <c r="K11" s="4"/>
      <c r="L11" s="4">
        <v>19669.16</v>
      </c>
      <c r="M11" s="4"/>
      <c r="N11" s="4">
        <v>4589.16</v>
      </c>
      <c r="O11" s="5">
        <f t="shared" si="0"/>
        <v>2078980.68</v>
      </c>
      <c r="P11" s="67">
        <v>182</v>
      </c>
      <c r="Q11" s="57">
        <v>2</v>
      </c>
      <c r="R11" s="67">
        <v>182</v>
      </c>
      <c r="S11" s="57">
        <v>2</v>
      </c>
      <c r="T11" s="88">
        <f t="shared" si="1"/>
        <v>180</v>
      </c>
      <c r="U11" s="129"/>
    </row>
    <row r="12" spans="1:21" s="16" customFormat="1" ht="15" customHeight="1">
      <c r="A12" s="68">
        <v>7</v>
      </c>
      <c r="B12" s="25" t="s">
        <v>14</v>
      </c>
      <c r="C12" s="69">
        <v>1754143</v>
      </c>
      <c r="D12" s="4">
        <v>7414</v>
      </c>
      <c r="E12" s="4">
        <v>199084</v>
      </c>
      <c r="F12" s="4">
        <v>1172</v>
      </c>
      <c r="G12" s="4">
        <v>13500</v>
      </c>
      <c r="H12" s="70"/>
      <c r="I12" s="71"/>
      <c r="J12" s="4"/>
      <c r="K12" s="4"/>
      <c r="L12" s="4"/>
      <c r="M12" s="4"/>
      <c r="N12" s="4">
        <v>13768.41</v>
      </c>
      <c r="O12" s="5">
        <f t="shared" si="0"/>
        <v>1961544.59</v>
      </c>
      <c r="P12" s="67">
        <v>186</v>
      </c>
      <c r="Q12" s="57">
        <v>0</v>
      </c>
      <c r="R12" s="67">
        <v>186</v>
      </c>
      <c r="S12" s="57">
        <v>0</v>
      </c>
      <c r="T12" s="89">
        <f t="shared" si="1"/>
        <v>186</v>
      </c>
      <c r="U12" s="129"/>
    </row>
    <row r="13" spans="1:21" s="16" customFormat="1" ht="15" customHeight="1" thickBot="1">
      <c r="A13" s="72">
        <v>8</v>
      </c>
      <c r="B13" s="27" t="s">
        <v>34</v>
      </c>
      <c r="C13" s="73"/>
      <c r="D13" s="74"/>
      <c r="E13" s="74"/>
      <c r="F13" s="74"/>
      <c r="G13" s="74"/>
      <c r="H13" s="75">
        <v>876588</v>
      </c>
      <c r="I13" s="76"/>
      <c r="J13" s="74"/>
      <c r="K13" s="74"/>
      <c r="L13" s="74"/>
      <c r="M13" s="74"/>
      <c r="N13" s="74"/>
      <c r="O13" s="77">
        <f t="shared" si="0"/>
        <v>876588</v>
      </c>
      <c r="P13" s="78"/>
      <c r="Q13" s="78"/>
      <c r="R13" s="78"/>
      <c r="S13" s="78"/>
      <c r="T13" s="90">
        <f xml:space="preserve"> ROUND((P13*2/3+R13*1/3)-(Q13*2/3+S13*1/3),2)</f>
        <v>0</v>
      </c>
      <c r="U13" s="130"/>
    </row>
    <row r="14" spans="1:21" s="16" customFormat="1" ht="4.5" customHeight="1" thickBo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</row>
    <row r="15" spans="1:21" s="28" customFormat="1" ht="21.75" customHeight="1" thickBot="1">
      <c r="A15" s="133" t="s">
        <v>7</v>
      </c>
      <c r="B15" s="134"/>
      <c r="C15" s="79">
        <f>SUM(C6:C13)</f>
        <v>11794197</v>
      </c>
      <c r="D15" s="79">
        <f t="shared" ref="D15:U15" si="2">SUM(D6:D13)</f>
        <v>61891</v>
      </c>
      <c r="E15" s="79">
        <f t="shared" si="2"/>
        <v>1266044</v>
      </c>
      <c r="F15" s="79">
        <f t="shared" si="2"/>
        <v>1079915</v>
      </c>
      <c r="G15" s="79">
        <f t="shared" si="2"/>
        <v>198763</v>
      </c>
      <c r="H15" s="79">
        <f t="shared" si="2"/>
        <v>876588</v>
      </c>
      <c r="I15" s="79">
        <f t="shared" si="2"/>
        <v>0</v>
      </c>
      <c r="J15" s="79">
        <v>0</v>
      </c>
      <c r="K15" s="79">
        <v>0</v>
      </c>
      <c r="L15" s="79">
        <f t="shared" si="2"/>
        <v>1513979.2499999998</v>
      </c>
      <c r="M15" s="79">
        <f t="shared" si="2"/>
        <v>0</v>
      </c>
      <c r="N15" s="79">
        <f t="shared" si="2"/>
        <v>257010.09000000003</v>
      </c>
      <c r="O15" s="79">
        <f t="shared" si="2"/>
        <v>13506408.66</v>
      </c>
      <c r="P15" s="80">
        <f t="shared" si="2"/>
        <v>1048</v>
      </c>
      <c r="Q15" s="80">
        <f t="shared" si="2"/>
        <v>43</v>
      </c>
      <c r="R15" s="80">
        <f t="shared" si="2"/>
        <v>1048</v>
      </c>
      <c r="S15" s="80">
        <f t="shared" si="2"/>
        <v>43</v>
      </c>
      <c r="T15" s="81">
        <f>SUM(T6:T13)</f>
        <v>1005</v>
      </c>
      <c r="U15" s="82">
        <f t="shared" si="2"/>
        <v>13439.21</v>
      </c>
    </row>
    <row r="16" spans="1:21" s="29" customFormat="1" ht="21.75" customHeight="1" thickBot="1">
      <c r="C16" s="135">
        <f>SUM(C15:H15)</f>
        <v>15277398</v>
      </c>
      <c r="D16" s="136"/>
      <c r="E16" s="136"/>
      <c r="F16" s="136"/>
      <c r="G16" s="136"/>
      <c r="H16" s="137"/>
      <c r="I16" s="135">
        <f>SUM(I15:N15)</f>
        <v>1770989.3399999999</v>
      </c>
      <c r="J16" s="138"/>
      <c r="K16" s="138"/>
      <c r="L16" s="136"/>
      <c r="M16" s="136"/>
      <c r="N16" s="136"/>
      <c r="O16" s="55">
        <f>C16-I16</f>
        <v>13506408.66</v>
      </c>
      <c r="T16" s="24"/>
    </row>
    <row r="17" spans="1:2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32"/>
      <c r="Q17" s="30"/>
      <c r="R17" s="30"/>
      <c r="S17" s="30"/>
      <c r="T17" s="30"/>
      <c r="U17" s="33"/>
    </row>
    <row r="18" spans="1:21">
      <c r="A18" s="125" t="s">
        <v>30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43"/>
      <c r="P18" s="56"/>
      <c r="Q18" s="34"/>
      <c r="R18" s="34"/>
      <c r="S18" s="34"/>
      <c r="T18" s="34"/>
      <c r="U18" s="35"/>
    </row>
    <row r="19" spans="1:21" ht="12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6" t="s">
        <v>42</v>
      </c>
      <c r="M19" s="131">
        <f>U6/12</f>
        <v>1119.9341666666667</v>
      </c>
      <c r="N19" s="131"/>
      <c r="O19" s="37">
        <f>ROUND(75%*U6/12,2)</f>
        <v>839.95</v>
      </c>
      <c r="P19" s="34"/>
      <c r="Q19" s="34"/>
      <c r="R19" s="34"/>
      <c r="S19" s="34"/>
      <c r="T19" s="34"/>
      <c r="U19" s="35"/>
    </row>
    <row r="20" spans="1:21">
      <c r="A20" s="126" t="s">
        <v>31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37">
        <f>ROUND(U6/12,2)</f>
        <v>1119.93</v>
      </c>
      <c r="P20" s="34"/>
      <c r="Q20" s="34"/>
      <c r="R20" s="34"/>
      <c r="S20" s="34"/>
      <c r="T20" s="34"/>
      <c r="U20" s="35"/>
    </row>
    <row r="21" spans="1:21">
      <c r="A21" s="126" t="s">
        <v>15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37">
        <v>116.92</v>
      </c>
      <c r="P21" s="34"/>
    </row>
    <row r="22" spans="1:21">
      <c r="A22" s="126" t="s">
        <v>43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35">
        <f>O19-O21</f>
        <v>723.03000000000009</v>
      </c>
      <c r="P22" s="35"/>
    </row>
    <row r="23" spans="1:21" s="12" customFormat="1">
      <c r="A23" s="125" t="s">
        <v>32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37"/>
      <c r="P23" s="34"/>
      <c r="Q23" s="34"/>
      <c r="R23" s="34"/>
      <c r="S23" s="34"/>
      <c r="T23" s="34"/>
      <c r="U23" s="35"/>
    </row>
    <row r="24" spans="1:2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6" t="s">
        <v>44</v>
      </c>
      <c r="M24" s="127">
        <f>U6/12</f>
        <v>1119.9341666666667</v>
      </c>
      <c r="N24" s="127"/>
      <c r="O24" s="37">
        <f>ROUND(40%*U6/12,2)</f>
        <v>447.97</v>
      </c>
      <c r="P24" s="37"/>
      <c r="Q24" s="34"/>
      <c r="R24" s="34"/>
      <c r="S24" s="34"/>
      <c r="T24" s="34"/>
      <c r="U24" s="35"/>
    </row>
    <row r="25" spans="1:21">
      <c r="A25" s="126" t="s">
        <v>31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37">
        <f>ROUND(U6/12,2)</f>
        <v>1119.93</v>
      </c>
      <c r="P25" s="37"/>
      <c r="Q25" s="34"/>
      <c r="R25" s="34"/>
      <c r="S25" s="34"/>
      <c r="T25" s="34"/>
      <c r="U25" s="35"/>
    </row>
    <row r="26" spans="1:21">
      <c r="A26" s="126" t="s">
        <v>15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37">
        <v>116.92</v>
      </c>
      <c r="P26" s="34"/>
    </row>
    <row r="27" spans="1:21">
      <c r="A27" s="126" t="s">
        <v>43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35">
        <f>O24-O26</f>
        <v>331.05</v>
      </c>
      <c r="P27" s="35"/>
    </row>
    <row r="28" spans="1:21" s="12" customFormat="1">
      <c r="A28" s="125" t="s">
        <v>33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38"/>
      <c r="P28" s="14"/>
    </row>
    <row r="29" spans="1:21" s="12" customFormat="1" ht="12.75" customHeight="1">
      <c r="A29" s="126" t="s">
        <v>31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38">
        <f>U6/12</f>
        <v>1119.9341666666667</v>
      </c>
      <c r="P29" s="14"/>
    </row>
    <row r="30" spans="1:21" s="12" customFormat="1">
      <c r="A30" s="126" t="s">
        <v>15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38">
        <v>116.92</v>
      </c>
    </row>
    <row r="31" spans="1:21" s="13" customFormat="1" ht="13.5">
      <c r="A31" s="126" t="s">
        <v>43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39">
        <f>O29-O30</f>
        <v>1003.0141666666667</v>
      </c>
      <c r="P31" s="15"/>
      <c r="Q31" s="18"/>
      <c r="R31" s="18"/>
      <c r="S31" s="18"/>
      <c r="T31" s="18"/>
    </row>
  </sheetData>
  <mergeCells count="29">
    <mergeCell ref="A1:U1"/>
    <mergeCell ref="A2:U2"/>
    <mergeCell ref="A3:A4"/>
    <mergeCell ref="B3:B4"/>
    <mergeCell ref="C3:H3"/>
    <mergeCell ref="I3:N3"/>
    <mergeCell ref="O3:O4"/>
    <mergeCell ref="P3:S3"/>
    <mergeCell ref="T3:T4"/>
    <mergeCell ref="U3:U4"/>
    <mergeCell ref="U6:U13"/>
    <mergeCell ref="A22:N22"/>
    <mergeCell ref="A21:N21"/>
    <mergeCell ref="M19:N19"/>
    <mergeCell ref="A20:N20"/>
    <mergeCell ref="A14:U14"/>
    <mergeCell ref="A15:B15"/>
    <mergeCell ref="C16:H16"/>
    <mergeCell ref="I16:N16"/>
    <mergeCell ref="A18:N18"/>
    <mergeCell ref="A28:N28"/>
    <mergeCell ref="A29:N29"/>
    <mergeCell ref="A30:N30"/>
    <mergeCell ref="A31:N31"/>
    <mergeCell ref="A23:N23"/>
    <mergeCell ref="M24:N24"/>
    <mergeCell ref="A25:N25"/>
    <mergeCell ref="A26:N26"/>
    <mergeCell ref="A27:N27"/>
  </mergeCells>
  <pageMargins left="0.4" right="0.25" top="0.34" bottom="0.44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6"/>
  <sheetViews>
    <sheetView topLeftCell="A13" workbookViewId="0">
      <selection activeCell="A30" sqref="A30"/>
    </sheetView>
  </sheetViews>
  <sheetFormatPr defaultRowHeight="12.75"/>
  <cols>
    <col min="1" max="1" width="83.5703125" style="102" customWidth="1"/>
    <col min="2" max="2" width="15.140625" style="103" customWidth="1"/>
    <col min="3" max="5" width="9.140625" style="95"/>
    <col min="6" max="16384" width="9.140625" style="92"/>
  </cols>
  <sheetData>
    <row r="1" spans="1:25" ht="20.25" customHeight="1">
      <c r="A1" s="155" t="s">
        <v>73</v>
      </c>
      <c r="B1" s="155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4.25" customHeight="1">
      <c r="A2" s="156" t="s">
        <v>74</v>
      </c>
      <c r="B2" s="156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54" customHeight="1">
      <c r="A3" s="93" t="s">
        <v>58</v>
      </c>
      <c r="B3" s="94">
        <f>SUM(PRZEDSZKOLA!C16)</f>
        <v>15277398</v>
      </c>
    </row>
    <row r="4" spans="1:25" ht="54" customHeight="1">
      <c r="A4" s="93" t="s">
        <v>38</v>
      </c>
      <c r="B4" s="94">
        <f>SUM(PRZEDSZKOLA!I15)</f>
        <v>0</v>
      </c>
    </row>
    <row r="5" spans="1:25" ht="54" customHeight="1">
      <c r="A5" s="93" t="s">
        <v>59</v>
      </c>
      <c r="B5" s="94">
        <f>SUM(PRZEDSZKOLA!J15)</f>
        <v>0</v>
      </c>
    </row>
    <row r="6" spans="1:25" ht="54" customHeight="1">
      <c r="A6" s="93" t="s">
        <v>60</v>
      </c>
      <c r="B6" s="94">
        <f>SUM(PRZEDSZKOLA!K15)</f>
        <v>0</v>
      </c>
    </row>
    <row r="7" spans="1:25" ht="54" customHeight="1">
      <c r="A7" s="93" t="s">
        <v>61</v>
      </c>
      <c r="B7" s="94">
        <f>-SUM(PRZEDSZKOLA!L15)</f>
        <v>-1513979.2499999998</v>
      </c>
    </row>
    <row r="8" spans="1:25" ht="54" customHeight="1">
      <c r="A8" s="93" t="s">
        <v>62</v>
      </c>
      <c r="B8" s="94">
        <f>SUM(PRZEDSZKOLA!M15)</f>
        <v>0</v>
      </c>
    </row>
    <row r="9" spans="1:25" ht="54" customHeight="1">
      <c r="A9" s="93" t="s">
        <v>63</v>
      </c>
      <c r="B9" s="94">
        <f>-SUM(PRZEDSZKOLA!N15)</f>
        <v>-257010.09000000003</v>
      </c>
    </row>
    <row r="10" spans="1:25" ht="54" customHeight="1">
      <c r="A10" s="93" t="s">
        <v>64</v>
      </c>
      <c r="B10" s="94">
        <v>0</v>
      </c>
    </row>
    <row r="11" spans="1:25" ht="54" customHeight="1">
      <c r="A11" s="93" t="s">
        <v>65</v>
      </c>
      <c r="B11" s="94">
        <v>0</v>
      </c>
    </row>
    <row r="12" spans="1:25" s="99" customFormat="1" ht="24" customHeight="1">
      <c r="A12" s="96" t="s">
        <v>66</v>
      </c>
      <c r="B12" s="97">
        <f>SUM(B3:B11)</f>
        <v>13506408.66</v>
      </c>
      <c r="C12" s="98"/>
      <c r="D12" s="98"/>
      <c r="E12" s="98"/>
    </row>
    <row r="13" spans="1:25" ht="47.25" customHeight="1">
      <c r="A13" s="100" t="s">
        <v>67</v>
      </c>
      <c r="B13" s="97">
        <f>SUM(PRZEDSZKOLA!T15)</f>
        <v>1005</v>
      </c>
    </row>
    <row r="14" spans="1:25" ht="18" customHeight="1">
      <c r="A14" s="100" t="s">
        <v>68</v>
      </c>
      <c r="B14" s="97">
        <f>B12/B13</f>
        <v>13439.212597014926</v>
      </c>
    </row>
    <row r="15" spans="1:25" ht="18" customHeight="1">
      <c r="A15" s="101" t="s">
        <v>69</v>
      </c>
      <c r="B15" s="97">
        <f>ROUND(B14/12,2)</f>
        <v>1119.93</v>
      </c>
    </row>
    <row r="16" spans="1:25" ht="18" customHeight="1">
      <c r="A16" s="101" t="s">
        <v>70</v>
      </c>
      <c r="B16" s="97">
        <f>ROUND(B14/12*75%,2)</f>
        <v>839.95</v>
      </c>
    </row>
    <row r="17" spans="1:2" s="92" customFormat="1" ht="18" customHeight="1">
      <c r="A17" s="101" t="s">
        <v>71</v>
      </c>
      <c r="B17" s="97">
        <f>ROUND(B14/12*50%,2)</f>
        <v>559.97</v>
      </c>
    </row>
    <row r="18" spans="1:2" s="92" customFormat="1" ht="18" customHeight="1">
      <c r="A18" s="101" t="s">
        <v>72</v>
      </c>
      <c r="B18" s="97">
        <f>ROUND(B14/12*40%,2)</f>
        <v>447.97</v>
      </c>
    </row>
    <row r="19" spans="1:2" s="92" customFormat="1">
      <c r="A19" s="102"/>
      <c r="B19" s="103"/>
    </row>
    <row r="20" spans="1:2" s="92" customFormat="1">
      <c r="A20" s="102"/>
      <c r="B20" s="103"/>
    </row>
    <row r="21" spans="1:2" s="92" customFormat="1">
      <c r="A21" s="102"/>
      <c r="B21" s="103"/>
    </row>
    <row r="22" spans="1:2" s="92" customFormat="1">
      <c r="A22" s="102"/>
      <c r="B22" s="103"/>
    </row>
    <row r="23" spans="1:2" s="92" customFormat="1">
      <c r="A23" s="102"/>
      <c r="B23" s="103"/>
    </row>
    <row r="24" spans="1:2" s="92" customFormat="1">
      <c r="A24" s="102"/>
      <c r="B24" s="103"/>
    </row>
    <row r="25" spans="1:2" s="92" customFormat="1">
      <c r="A25" s="102"/>
      <c r="B25" s="103"/>
    </row>
    <row r="26" spans="1:2" s="92" customFormat="1">
      <c r="A26" s="102"/>
      <c r="B26" s="103"/>
    </row>
    <row r="27" spans="1:2" s="92" customFormat="1">
      <c r="A27" s="102"/>
      <c r="B27" s="103"/>
    </row>
    <row r="28" spans="1:2" s="92" customFormat="1">
      <c r="A28" s="102"/>
      <c r="B28" s="103"/>
    </row>
    <row r="29" spans="1:2" s="92" customFormat="1">
      <c r="A29" s="102"/>
      <c r="B29" s="103"/>
    </row>
    <row r="30" spans="1:2" s="92" customFormat="1">
      <c r="A30" s="102"/>
      <c r="B30" s="103"/>
    </row>
    <row r="31" spans="1:2" s="92" customFormat="1">
      <c r="A31" s="102"/>
      <c r="B31" s="103"/>
    </row>
    <row r="32" spans="1:2" s="92" customFormat="1">
      <c r="A32" s="102"/>
      <c r="B32" s="103"/>
    </row>
    <row r="33" s="92" customFormat="1"/>
    <row r="34" s="92" customFormat="1"/>
    <row r="35" s="92" customFormat="1"/>
    <row r="36" s="92" customFormat="1"/>
    <row r="37" s="92" customFormat="1"/>
    <row r="38" s="92" customFormat="1"/>
    <row r="39" s="92" customFormat="1"/>
    <row r="40" s="92" customFormat="1"/>
    <row r="41" s="92" customFormat="1"/>
    <row r="42" s="92" customFormat="1"/>
    <row r="43" s="92" customFormat="1"/>
    <row r="44" s="92" customFormat="1"/>
    <row r="45" s="92" customFormat="1"/>
    <row r="46" s="92" customFormat="1"/>
    <row r="47" s="92" customFormat="1"/>
    <row r="48" s="92" customFormat="1"/>
    <row r="49" s="92" customFormat="1"/>
    <row r="50" s="92" customFormat="1"/>
    <row r="51" s="92" customFormat="1"/>
    <row r="52" s="92" customFormat="1"/>
    <row r="53" s="92" customFormat="1"/>
    <row r="54" s="92" customFormat="1"/>
    <row r="55" s="92" customFormat="1"/>
    <row r="56" s="92" customFormat="1"/>
    <row r="57" s="92" customFormat="1"/>
    <row r="58" s="92" customFormat="1"/>
    <row r="59" s="92" customFormat="1"/>
    <row r="60" s="92" customFormat="1"/>
    <row r="61" s="92" customFormat="1"/>
    <row r="62" s="92" customFormat="1"/>
    <row r="63" s="92" customFormat="1"/>
    <row r="64" s="92" customFormat="1"/>
    <row r="65" s="92" customFormat="1"/>
    <row r="66" s="92" customFormat="1"/>
    <row r="67" s="92" customFormat="1"/>
    <row r="68" s="92" customFormat="1"/>
    <row r="69" s="92" customFormat="1"/>
    <row r="70" s="92" customFormat="1"/>
    <row r="71" s="92" customFormat="1"/>
    <row r="72" s="92" customFormat="1"/>
    <row r="73" s="92" customFormat="1"/>
    <row r="74" s="92" customFormat="1"/>
    <row r="75" s="92" customFormat="1"/>
    <row r="76" s="92" customFormat="1"/>
    <row r="77" s="92" customFormat="1"/>
    <row r="78" s="92" customFormat="1"/>
    <row r="79" s="92" customFormat="1"/>
    <row r="80" s="92" customFormat="1"/>
    <row r="81" s="92" customFormat="1"/>
    <row r="82" s="92" customFormat="1"/>
    <row r="83" s="92" customFormat="1"/>
    <row r="84" s="92" customFormat="1"/>
    <row r="85" s="92" customFormat="1"/>
    <row r="86" s="92" customFormat="1"/>
    <row r="87" s="92" customFormat="1"/>
    <row r="88" s="92" customFormat="1"/>
    <row r="89" s="92" customFormat="1"/>
    <row r="90" s="92" customFormat="1"/>
    <row r="91" s="92" customFormat="1"/>
    <row r="92" s="92" customFormat="1"/>
    <row r="93" s="92" customFormat="1"/>
    <row r="94" s="92" customFormat="1"/>
    <row r="95" s="92" customFormat="1"/>
    <row r="96" s="92" customFormat="1"/>
  </sheetData>
  <mergeCells count="2">
    <mergeCell ref="A1:B1"/>
    <mergeCell ref="A2:B2"/>
  </mergeCells>
  <pageMargins left="0.45" right="0.25" top="0.75" bottom="0.75" header="0.3" footer="0.3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>
      <selection activeCell="F14" sqref="F14"/>
    </sheetView>
  </sheetViews>
  <sheetFormatPr defaultRowHeight="12.75"/>
  <cols>
    <col min="1" max="1" width="4.5703125" style="1" customWidth="1"/>
    <col min="2" max="2" width="19.42578125" style="1" customWidth="1"/>
    <col min="3" max="8" width="9.42578125" style="1" customWidth="1"/>
    <col min="9" max="9" width="10" style="1" customWidth="1"/>
    <col min="10" max="14" width="9" style="1" customWidth="1"/>
    <col min="15" max="15" width="8.7109375" style="1" customWidth="1"/>
    <col min="16" max="16" width="9.140625" style="1"/>
    <col min="17" max="17" width="10.140625" style="1" bestFit="1" customWidth="1"/>
    <col min="18" max="16384" width="9.140625" style="1"/>
  </cols>
  <sheetData>
    <row r="1" spans="1:16" ht="35.25" customHeight="1">
      <c r="A1" s="118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6" ht="68.25" customHeight="1">
      <c r="A2" s="107" t="s">
        <v>0</v>
      </c>
      <c r="B2" s="107" t="s">
        <v>1</v>
      </c>
      <c r="C2" s="108" t="s">
        <v>52</v>
      </c>
      <c r="D2" s="108"/>
      <c r="E2" s="108"/>
      <c r="F2" s="108"/>
      <c r="G2" s="108"/>
      <c r="H2" s="108"/>
      <c r="I2" s="104" t="s">
        <v>20</v>
      </c>
      <c r="J2" s="119" t="s">
        <v>21</v>
      </c>
      <c r="K2" s="120"/>
      <c r="L2" s="120"/>
      <c r="M2" s="121"/>
      <c r="N2" s="117" t="s">
        <v>48</v>
      </c>
      <c r="O2" s="117" t="s">
        <v>49</v>
      </c>
    </row>
    <row r="3" spans="1:16" ht="53.25" customHeight="1">
      <c r="A3" s="107"/>
      <c r="B3" s="107"/>
      <c r="C3" s="109" t="s">
        <v>19</v>
      </c>
      <c r="D3" s="109" t="s">
        <v>2</v>
      </c>
      <c r="E3" s="109" t="s">
        <v>18</v>
      </c>
      <c r="F3" s="109" t="s">
        <v>45</v>
      </c>
      <c r="G3" s="109" t="s">
        <v>46</v>
      </c>
      <c r="H3" s="109" t="s">
        <v>47</v>
      </c>
      <c r="I3" s="104"/>
      <c r="J3" s="122"/>
      <c r="K3" s="123"/>
      <c r="L3" s="123"/>
      <c r="M3" s="124"/>
      <c r="N3" s="117"/>
      <c r="O3" s="117"/>
    </row>
    <row r="4" spans="1:16" s="2" customFormat="1" ht="68.25" customHeight="1">
      <c r="A4" s="107"/>
      <c r="B4" s="107"/>
      <c r="C4" s="109"/>
      <c r="D4" s="109"/>
      <c r="E4" s="109"/>
      <c r="F4" s="109"/>
      <c r="G4" s="109"/>
      <c r="H4" s="109"/>
      <c r="I4" s="104"/>
      <c r="J4" s="45" t="s">
        <v>53</v>
      </c>
      <c r="K4" s="46" t="s">
        <v>29</v>
      </c>
      <c r="L4" s="54">
        <v>43373</v>
      </c>
      <c r="M4" s="46" t="s">
        <v>29</v>
      </c>
      <c r="N4" s="117"/>
      <c r="O4" s="117"/>
    </row>
    <row r="5" spans="1:16" ht="13.5" thickBot="1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</row>
    <row r="6" spans="1:16" ht="26.25" customHeight="1">
      <c r="A6" s="3">
        <v>1</v>
      </c>
      <c r="B6" s="9" t="s">
        <v>3</v>
      </c>
      <c r="C6" s="4">
        <v>457248</v>
      </c>
      <c r="D6" s="4">
        <f>39000/544*J6</f>
        <v>3727.9411764705883</v>
      </c>
      <c r="E6" s="5">
        <v>280715</v>
      </c>
      <c r="F6" s="5">
        <v>6514</v>
      </c>
      <c r="G6" s="5">
        <f>207618.95</f>
        <v>207618.95</v>
      </c>
      <c r="H6" s="5"/>
      <c r="I6" s="5">
        <f>SUM(C6:F6)-G6-H6</f>
        <v>540585.99117647065</v>
      </c>
      <c r="J6" s="23">
        <v>52</v>
      </c>
      <c r="K6" s="23">
        <v>4</v>
      </c>
      <c r="L6" s="23">
        <v>52</v>
      </c>
      <c r="M6" s="23">
        <v>4</v>
      </c>
      <c r="N6" s="24">
        <f xml:space="preserve"> ROUND((J6*2/3+L6*1/3)-(K6*2/3+M6*1/3),2)</f>
        <v>48</v>
      </c>
      <c r="O6" s="114">
        <f>ROUND(SUM(I11/N11/12),2)</f>
        <v>847.65</v>
      </c>
    </row>
    <row r="7" spans="1:16" ht="26.25" customHeight="1">
      <c r="A7" s="3">
        <v>2</v>
      </c>
      <c r="B7" s="9" t="s">
        <v>4</v>
      </c>
      <c r="C7" s="4">
        <v>850927</v>
      </c>
      <c r="D7" s="4">
        <f>33535/854*J7</f>
        <v>3769.7423887587825</v>
      </c>
      <c r="E7" s="5">
        <v>0</v>
      </c>
      <c r="F7" s="5"/>
      <c r="G7" s="5">
        <v>0</v>
      </c>
      <c r="H7" s="5"/>
      <c r="I7" s="5">
        <f>SUM(C7:F7)-G7-H7</f>
        <v>854696.74238875881</v>
      </c>
      <c r="J7" s="26">
        <v>96</v>
      </c>
      <c r="K7" s="26">
        <v>0</v>
      </c>
      <c r="L7" s="26">
        <v>96</v>
      </c>
      <c r="M7" s="26">
        <v>0</v>
      </c>
      <c r="N7" s="24">
        <f xml:space="preserve"> ROUND((J7*2/3+L7*1/3)-(K7*2/3+M7*1/3),2)</f>
        <v>96</v>
      </c>
      <c r="O7" s="115"/>
    </row>
    <row r="8" spans="1:16" ht="26.25" customHeight="1">
      <c r="A8" s="3">
        <v>3</v>
      </c>
      <c r="B8" s="9" t="s">
        <v>5</v>
      </c>
      <c r="C8" s="4">
        <v>568435</v>
      </c>
      <c r="D8" s="4">
        <f>27381/582*J8</f>
        <v>2869.8298969072166</v>
      </c>
      <c r="E8" s="5">
        <v>55896</v>
      </c>
      <c r="F8" s="5">
        <v>44931</v>
      </c>
      <c r="G8" s="5">
        <f>51904.74+19669.16</f>
        <v>71573.899999999994</v>
      </c>
      <c r="H8" s="5"/>
      <c r="I8" s="5">
        <f>SUM(C8:F8)-G8-H8</f>
        <v>600557.92989690718</v>
      </c>
      <c r="J8" s="26">
        <v>61</v>
      </c>
      <c r="K8" s="26">
        <v>2</v>
      </c>
      <c r="L8" s="26">
        <v>61</v>
      </c>
      <c r="M8" s="26">
        <v>2</v>
      </c>
      <c r="N8" s="24">
        <f xml:space="preserve"> ROUND((J8*2/3+L8*1/3)-(K8*2/3+M8*1/3),2)</f>
        <v>59</v>
      </c>
      <c r="O8" s="115"/>
    </row>
    <row r="9" spans="1:16" ht="26.25" customHeight="1">
      <c r="A9" s="3">
        <v>4</v>
      </c>
      <c r="B9" s="9" t="s">
        <v>6</v>
      </c>
      <c r="C9" s="4">
        <v>492780</v>
      </c>
      <c r="D9" s="4">
        <f>17300/209*J9</f>
        <v>3476.5550239234449</v>
      </c>
      <c r="E9" s="5">
        <v>0</v>
      </c>
      <c r="F9" s="5">
        <v>0</v>
      </c>
      <c r="G9" s="5">
        <v>0</v>
      </c>
      <c r="H9" s="5"/>
      <c r="I9" s="5">
        <f>SUM(C9:F9)-G9-H9</f>
        <v>496256.55502392346</v>
      </c>
      <c r="J9" s="26">
        <v>42</v>
      </c>
      <c r="K9" s="26">
        <v>0</v>
      </c>
      <c r="L9" s="26">
        <v>42</v>
      </c>
      <c r="M9" s="26">
        <v>0</v>
      </c>
      <c r="N9" s="24">
        <f xml:space="preserve"> ROUND((J9*2/3+L9*1/3)-(K9*2/3+M9*1/3),2)</f>
        <v>42</v>
      </c>
      <c r="O9" s="116"/>
    </row>
    <row r="10" spans="1:16" ht="3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6" s="53" customFormat="1" ht="37.5" customHeight="1">
      <c r="A11" s="106" t="s">
        <v>7</v>
      </c>
      <c r="B11" s="106"/>
      <c r="C11" s="41">
        <f t="shared" ref="C11:M11" si="0">SUM(C6:C9)</f>
        <v>2369390</v>
      </c>
      <c r="D11" s="41">
        <f t="shared" si="0"/>
        <v>13844.068486060032</v>
      </c>
      <c r="E11" s="41">
        <f t="shared" si="0"/>
        <v>336611</v>
      </c>
      <c r="F11" s="41">
        <f t="shared" si="0"/>
        <v>51445</v>
      </c>
      <c r="G11" s="41">
        <f t="shared" si="0"/>
        <v>279192.84999999998</v>
      </c>
      <c r="H11" s="41">
        <f t="shared" si="0"/>
        <v>0</v>
      </c>
      <c r="I11" s="41">
        <f t="shared" si="0"/>
        <v>2492097.2184860599</v>
      </c>
      <c r="J11" s="51">
        <f t="shared" si="0"/>
        <v>251</v>
      </c>
      <c r="K11" s="51">
        <f t="shared" si="0"/>
        <v>6</v>
      </c>
      <c r="L11" s="51">
        <f t="shared" si="0"/>
        <v>251</v>
      </c>
      <c r="M11" s="51">
        <f t="shared" si="0"/>
        <v>6</v>
      </c>
      <c r="N11" s="52">
        <f xml:space="preserve"> ROUND((J11*2/3+L11*1/3)-(K11*2/3+M11*1/3),2)</f>
        <v>245</v>
      </c>
      <c r="O11" s="41"/>
    </row>
    <row r="12" spans="1:16" s="6" customFormat="1" ht="34.5" customHeight="1">
      <c r="A12" s="111" t="s">
        <v>54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8"/>
    </row>
    <row r="13" spans="1:16" ht="15.75" customHeight="1">
      <c r="A13" s="112" t="s">
        <v>17</v>
      </c>
      <c r="B13" s="112"/>
      <c r="C13" s="112"/>
      <c r="D13" s="112"/>
      <c r="E13" s="112"/>
      <c r="F13" s="40"/>
      <c r="G13" s="40"/>
      <c r="H13" s="19"/>
      <c r="I13" s="11">
        <f>O6</f>
        <v>847.65</v>
      </c>
      <c r="J13" s="37"/>
      <c r="K13" s="37"/>
      <c r="L13" s="37"/>
      <c r="M13" s="37"/>
      <c r="N13" s="113">
        <f>I15*3*12</f>
        <v>26306.28</v>
      </c>
      <c r="O13" s="113"/>
    </row>
    <row r="14" spans="1:16" ht="15.75" customHeight="1">
      <c r="A14" s="112" t="s">
        <v>15</v>
      </c>
      <c r="B14" s="112"/>
      <c r="C14" s="112"/>
      <c r="D14" s="112"/>
      <c r="E14" s="112"/>
      <c r="F14" s="40"/>
      <c r="G14" s="40"/>
      <c r="H14" s="19"/>
      <c r="I14" s="11">
        <v>116.92</v>
      </c>
      <c r="J14" s="47"/>
      <c r="K14" s="47"/>
      <c r="L14" s="47"/>
      <c r="M14" s="47"/>
      <c r="N14" s="48"/>
      <c r="O14" s="49"/>
    </row>
    <row r="15" spans="1:16" ht="15.75" customHeight="1">
      <c r="A15" s="112" t="s">
        <v>16</v>
      </c>
      <c r="B15" s="112"/>
      <c r="C15" s="112"/>
      <c r="D15" s="112"/>
      <c r="E15" s="112"/>
      <c r="F15" s="40"/>
      <c r="G15" s="40"/>
      <c r="H15" s="19"/>
      <c r="I15" s="10">
        <f>I13-I14</f>
        <v>730.73</v>
      </c>
      <c r="J15" s="29"/>
      <c r="K15" s="29"/>
      <c r="L15" s="29"/>
      <c r="M15" s="29"/>
      <c r="N15" s="50"/>
      <c r="O15" s="29"/>
    </row>
    <row r="16" spans="1:16" ht="63" customHeight="1">
      <c r="J16" s="32"/>
      <c r="K16" s="42"/>
      <c r="L16" s="42"/>
      <c r="M16" s="42"/>
      <c r="N16" s="42"/>
      <c r="O16" s="33"/>
    </row>
    <row r="17" spans="1:15" ht="12.7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 ht="12.7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5">
      <c r="J19" s="34"/>
      <c r="K19" s="34"/>
      <c r="L19" s="34"/>
      <c r="M19" s="34"/>
      <c r="N19" s="34"/>
      <c r="O19" s="35"/>
    </row>
    <row r="20" spans="1:15">
      <c r="J20" s="34"/>
    </row>
    <row r="21" spans="1:15">
      <c r="J21" s="35"/>
    </row>
    <row r="22" spans="1:15">
      <c r="J22" s="34"/>
      <c r="K22" s="34"/>
      <c r="L22" s="34"/>
      <c r="M22" s="34"/>
      <c r="N22" s="34"/>
      <c r="O22" s="35"/>
    </row>
    <row r="23" spans="1:15">
      <c r="J23" s="37"/>
      <c r="K23" s="34"/>
      <c r="L23" s="34"/>
      <c r="M23" s="34"/>
      <c r="N23" s="34"/>
      <c r="O23" s="35"/>
    </row>
    <row r="24" spans="1:15">
      <c r="J24" s="37"/>
      <c r="K24" s="34"/>
      <c r="L24" s="34"/>
      <c r="M24" s="34"/>
      <c r="N24" s="34"/>
      <c r="O24" s="35"/>
    </row>
    <row r="25" spans="1:15">
      <c r="J25" s="34"/>
    </row>
    <row r="26" spans="1:15">
      <c r="J26" s="35"/>
    </row>
    <row r="27" spans="1:15">
      <c r="J27" s="14"/>
      <c r="K27" s="12"/>
      <c r="L27" s="12"/>
      <c r="M27" s="12"/>
      <c r="N27" s="12"/>
      <c r="O27" s="12"/>
    </row>
    <row r="28" spans="1:15">
      <c r="J28" s="14"/>
      <c r="K28" s="12"/>
      <c r="L28" s="12"/>
      <c r="M28" s="12"/>
      <c r="N28" s="12"/>
      <c r="O28" s="12"/>
    </row>
    <row r="29" spans="1:15">
      <c r="J29" s="12"/>
      <c r="K29" s="12"/>
      <c r="L29" s="12"/>
      <c r="M29" s="12"/>
      <c r="N29" s="12"/>
      <c r="O29" s="12"/>
    </row>
    <row r="30" spans="1:15" ht="13.5">
      <c r="J30" s="15"/>
      <c r="K30" s="18"/>
      <c r="L30" s="18"/>
      <c r="M30" s="18"/>
      <c r="N30" s="18"/>
      <c r="O30" s="13"/>
    </row>
    <row r="31" spans="1:15" ht="13.5">
      <c r="J31" s="13"/>
      <c r="K31" s="13"/>
      <c r="L31" s="13"/>
      <c r="M31" s="13"/>
      <c r="N31" s="13"/>
      <c r="O31" s="13"/>
    </row>
  </sheetData>
  <mergeCells count="24">
    <mergeCell ref="O6:O9"/>
    <mergeCell ref="O2:O4"/>
    <mergeCell ref="N2:N4"/>
    <mergeCell ref="A1:O1"/>
    <mergeCell ref="A2:A4"/>
    <mergeCell ref="B2:B4"/>
    <mergeCell ref="I2:I4"/>
    <mergeCell ref="C3:C4"/>
    <mergeCell ref="E3:E4"/>
    <mergeCell ref="H3:H4"/>
    <mergeCell ref="C2:H2"/>
    <mergeCell ref="F3:F4"/>
    <mergeCell ref="G3:G4"/>
    <mergeCell ref="D3:D4"/>
    <mergeCell ref="J2:M3"/>
    <mergeCell ref="A18:O18"/>
    <mergeCell ref="A15:E15"/>
    <mergeCell ref="A17:O17"/>
    <mergeCell ref="A10:O10"/>
    <mergeCell ref="A11:B11"/>
    <mergeCell ref="A12:O12"/>
    <mergeCell ref="A13:E13"/>
    <mergeCell ref="A14:E14"/>
    <mergeCell ref="N13:O13"/>
  </mergeCells>
  <pageMargins left="0.93" right="0.25" top="0.43" bottom="0.49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opLeftCell="A10" workbookViewId="0">
      <selection activeCell="A31" sqref="A31"/>
    </sheetView>
  </sheetViews>
  <sheetFormatPr defaultRowHeight="12.75"/>
  <cols>
    <col min="1" max="1" width="83" style="102" customWidth="1"/>
    <col min="2" max="2" width="15.140625" style="103" customWidth="1"/>
    <col min="3" max="16384" width="9.140625" style="92"/>
  </cols>
  <sheetData>
    <row r="1" spans="1:8" ht="20.25" customHeight="1">
      <c r="A1" s="155" t="s">
        <v>75</v>
      </c>
      <c r="B1" s="155"/>
      <c r="C1" s="91"/>
      <c r="D1" s="91"/>
      <c r="E1" s="91"/>
      <c r="F1" s="91"/>
      <c r="G1" s="91"/>
      <c r="H1" s="91"/>
    </row>
    <row r="2" spans="1:8" ht="44.25" customHeight="1">
      <c r="A2" s="156" t="s">
        <v>74</v>
      </c>
      <c r="B2" s="156"/>
      <c r="C2" s="91"/>
      <c r="D2" s="91"/>
      <c r="E2" s="91"/>
      <c r="F2" s="91"/>
      <c r="G2" s="91"/>
      <c r="H2" s="91"/>
    </row>
    <row r="3" spans="1:8" ht="53.25" customHeight="1">
      <c r="A3" s="93" t="s">
        <v>58</v>
      </c>
      <c r="B3" s="94">
        <f>SUM('OP SP Publ'!C11:F11)</f>
        <v>2771290.06848606</v>
      </c>
    </row>
    <row r="4" spans="1:8" ht="53.25" customHeight="1">
      <c r="A4" s="93" t="s">
        <v>38</v>
      </c>
      <c r="B4" s="94">
        <f>SUM(PRZEDSZKOLA!I15)</f>
        <v>0</v>
      </c>
    </row>
    <row r="5" spans="1:8" ht="53.25" customHeight="1">
      <c r="A5" s="93" t="s">
        <v>59</v>
      </c>
      <c r="B5" s="94">
        <f>SUM(PRZEDSZKOLA!J15)</f>
        <v>0</v>
      </c>
    </row>
    <row r="6" spans="1:8" ht="53.25" customHeight="1">
      <c r="A6" s="93" t="s">
        <v>60</v>
      </c>
      <c r="B6" s="94">
        <f>SUM(PRZEDSZKOLA!K15)</f>
        <v>0</v>
      </c>
    </row>
    <row r="7" spans="1:8" ht="53.25" customHeight="1">
      <c r="A7" s="93" t="s">
        <v>61</v>
      </c>
      <c r="B7" s="94">
        <f>-SUM('OP SP Publ'!G11)</f>
        <v>-279192.84999999998</v>
      </c>
    </row>
    <row r="8" spans="1:8" ht="53.25" customHeight="1">
      <c r="A8" s="93" t="s">
        <v>62</v>
      </c>
      <c r="B8" s="94">
        <f>SUM(PRZEDSZKOLA!M15)</f>
        <v>0</v>
      </c>
    </row>
    <row r="9" spans="1:8" ht="53.25" customHeight="1">
      <c r="A9" s="93" t="s">
        <v>63</v>
      </c>
      <c r="B9" s="94">
        <f>SUM('OP SP Publ'!H11)</f>
        <v>0</v>
      </c>
    </row>
    <row r="10" spans="1:8" ht="53.25" customHeight="1">
      <c r="A10" s="93" t="s">
        <v>64</v>
      </c>
      <c r="B10" s="94">
        <v>0</v>
      </c>
    </row>
    <row r="11" spans="1:8" ht="53.25" customHeight="1">
      <c r="A11" s="93" t="s">
        <v>65</v>
      </c>
      <c r="B11" s="94">
        <v>0</v>
      </c>
    </row>
    <row r="12" spans="1:8" s="99" customFormat="1" ht="24" customHeight="1">
      <c r="A12" s="96" t="s">
        <v>66</v>
      </c>
      <c r="B12" s="97">
        <f>SUM(B3:B11)</f>
        <v>2492097.2184860599</v>
      </c>
    </row>
    <row r="13" spans="1:8" ht="47.25" customHeight="1">
      <c r="A13" s="100" t="s">
        <v>67</v>
      </c>
      <c r="B13" s="97">
        <f>SUM('OP SP Publ'!N11)</f>
        <v>245</v>
      </c>
    </row>
    <row r="14" spans="1:8" ht="18" customHeight="1">
      <c r="A14" s="100" t="s">
        <v>68</v>
      </c>
      <c r="B14" s="97">
        <f>B12/B13</f>
        <v>10171.825381575754</v>
      </c>
    </row>
    <row r="15" spans="1:8" ht="18" customHeight="1">
      <c r="A15" s="101" t="s">
        <v>69</v>
      </c>
      <c r="B15" s="97">
        <f>ROUND(B14/12,2)</f>
        <v>847.65</v>
      </c>
    </row>
    <row r="16" spans="1:8" ht="18" customHeight="1">
      <c r="A16" s="101" t="s">
        <v>70</v>
      </c>
      <c r="B16" s="97">
        <f>ROUND(B14/12*75%,2)</f>
        <v>635.74</v>
      </c>
    </row>
    <row r="17" spans="1:2" ht="18" customHeight="1">
      <c r="A17" s="101" t="s">
        <v>71</v>
      </c>
      <c r="B17" s="97">
        <f>ROUND(B14/12*50%,2)</f>
        <v>423.83</v>
      </c>
    </row>
    <row r="18" spans="1:2" ht="18" customHeight="1">
      <c r="A18" s="101" t="s">
        <v>72</v>
      </c>
      <c r="B18" s="97">
        <f>ROUND(B14/12*40%,2)</f>
        <v>339.06</v>
      </c>
    </row>
    <row r="33" s="92" customFormat="1"/>
    <row r="34" s="92" customFormat="1"/>
    <row r="35" s="92" customFormat="1"/>
    <row r="36" s="92" customFormat="1"/>
    <row r="37" s="92" customFormat="1"/>
    <row r="38" s="92" customFormat="1"/>
    <row r="39" s="92" customFormat="1"/>
    <row r="40" s="92" customFormat="1"/>
    <row r="41" s="92" customFormat="1"/>
    <row r="42" s="92" customFormat="1"/>
    <row r="43" s="92" customFormat="1"/>
    <row r="44" s="92" customFormat="1"/>
    <row r="45" s="92" customFormat="1"/>
    <row r="46" s="92" customFormat="1"/>
    <row r="47" s="92" customFormat="1"/>
    <row r="48" s="92" customFormat="1"/>
    <row r="49" s="92" customFormat="1"/>
    <row r="50" s="92" customFormat="1"/>
    <row r="51" s="92" customFormat="1"/>
    <row r="52" s="92" customFormat="1"/>
    <row r="53" s="92" customFormat="1"/>
    <row r="54" s="92" customFormat="1"/>
    <row r="55" s="92" customFormat="1"/>
    <row r="56" s="92" customFormat="1"/>
    <row r="57" s="92" customFormat="1"/>
    <row r="58" s="92" customFormat="1"/>
    <row r="59" s="92" customFormat="1"/>
    <row r="60" s="92" customFormat="1"/>
    <row r="61" s="92" customFormat="1"/>
    <row r="62" s="92" customFormat="1"/>
    <row r="63" s="92" customFormat="1"/>
    <row r="64" s="92" customFormat="1"/>
    <row r="65" s="92" customFormat="1"/>
    <row r="66" s="92" customFormat="1"/>
    <row r="67" s="92" customFormat="1"/>
    <row r="68" s="92" customFormat="1"/>
    <row r="69" s="92" customFormat="1"/>
    <row r="70" s="92" customFormat="1"/>
    <row r="71" s="92" customFormat="1"/>
    <row r="72" s="92" customFormat="1"/>
    <row r="73" s="92" customFormat="1"/>
    <row r="74" s="92" customFormat="1"/>
    <row r="75" s="92" customFormat="1"/>
    <row r="76" s="92" customFormat="1"/>
    <row r="77" s="92" customFormat="1"/>
    <row r="78" s="92" customFormat="1"/>
    <row r="79" s="92" customFormat="1"/>
    <row r="80" s="92" customFormat="1"/>
    <row r="81" s="92" customFormat="1"/>
    <row r="82" s="92" customFormat="1"/>
    <row r="83" s="92" customFormat="1"/>
    <row r="84" s="92" customFormat="1"/>
    <row r="85" s="92" customFormat="1"/>
    <row r="86" s="92" customFormat="1"/>
    <row r="87" s="92" customFormat="1"/>
    <row r="88" s="92" customFormat="1"/>
    <row r="89" s="92" customFormat="1"/>
    <row r="90" s="92" customFormat="1"/>
    <row r="91" s="92" customFormat="1"/>
    <row r="92" s="92" customFormat="1"/>
    <row r="93" s="92" customFormat="1"/>
    <row r="94" s="92" customFormat="1"/>
    <row r="95" s="92" customFormat="1"/>
    <row r="96" s="92" customFormat="1"/>
  </sheetData>
  <mergeCells count="2">
    <mergeCell ref="A1:B1"/>
    <mergeCell ref="A2:B2"/>
  </mergeCells>
  <pageMargins left="0.41" right="0.25" top="0.64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PRZEDSZKOLA</vt:lpstr>
      <vt:lpstr>Informacja PM</vt:lpstr>
      <vt:lpstr>OP SP Publ</vt:lpstr>
      <vt:lpstr>Informacja OP 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Kędziora</dc:creator>
  <cp:lastModifiedBy>Użytkownik systemu Windows</cp:lastModifiedBy>
  <cp:lastPrinted>2019-05-17T12:51:08Z</cp:lastPrinted>
  <dcterms:created xsi:type="dcterms:W3CDTF">2012-01-24T09:12:16Z</dcterms:created>
  <dcterms:modified xsi:type="dcterms:W3CDTF">2019-08-09T08:36:54Z</dcterms:modified>
</cp:coreProperties>
</file>