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Zał 16 WPI" sheetId="1" r:id="rId1"/>
  </sheets>
  <definedNames>
    <definedName name="Excel_BuiltIn_Print_Area_1_1">#REF!</definedName>
    <definedName name="kat">#REF!</definedName>
    <definedName name="kategorie">#REF!</definedName>
    <definedName name="kategorie_interwencji">#REF!</definedName>
    <definedName name="lista_beneficjentów">#REF!</definedName>
    <definedName name="_xlnm.Print_Area" localSheetId="0">'Zał 16 WPI'!$A$1:$P$350</definedName>
    <definedName name="SOM">#REF!</definedName>
    <definedName name="_xlnm.Print_Titles" localSheetId="0">'Zał 16 WPI'!$12:$17</definedName>
  </definedNames>
  <calcPr fullCalcOnLoad="1"/>
</workbook>
</file>

<file path=xl/comments1.xml><?xml version="1.0" encoding="utf-8"?>
<comments xmlns="http://schemas.openxmlformats.org/spreadsheetml/2006/main">
  <authors>
    <author>q</author>
  </authors>
  <commentList>
    <comment ref="G326" authorId="0">
      <text>
        <r>
          <rPr>
            <b/>
            <sz val="8"/>
            <rFont val="Tahoma"/>
            <family val="0"/>
          </rPr>
          <t>q: 2008 r.-koszty par.4340-w 2007 r.brak zadania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<sst xmlns="http://schemas.openxmlformats.org/spreadsheetml/2006/main" count="619" uniqueCount="168">
  <si>
    <t>Limity wydatków na wieloletnie programy inwestycyjne w latach 2009-2013</t>
  </si>
  <si>
    <t>Lp.</t>
  </si>
  <si>
    <t>Dział</t>
  </si>
  <si>
    <t>Rozdz.</t>
  </si>
  <si>
    <t>Nazwa zadania inwestycyjnego</t>
  </si>
  <si>
    <t>Jednostka organizacyjna realizująca program lub koordynująca wykonanie programu</t>
  </si>
  <si>
    <t>Okres realizacji</t>
  </si>
  <si>
    <t xml:space="preserve">Nakłady inwestycyjne do końca roku 2007 r. </t>
  </si>
  <si>
    <t xml:space="preserve">plan wydatków inwestycyjn. w  roku 2008 r.  na 16.12.2008 </t>
  </si>
  <si>
    <t>Łączne nakłady finansowe           ( w zł.)</t>
  </si>
  <si>
    <t>Źródła finansowania od 2009 do 2013</t>
  </si>
  <si>
    <t>2009 r.</t>
  </si>
  <si>
    <t>2010 r.</t>
  </si>
  <si>
    <t>2011 r.</t>
  </si>
  <si>
    <t>2012 r.</t>
  </si>
  <si>
    <t>2013 r.</t>
  </si>
  <si>
    <t>Przebudowa ul. Perłowej</t>
  </si>
  <si>
    <t>Urząd Miasta Kołobrzeg</t>
  </si>
  <si>
    <t>2000-2010</t>
  </si>
  <si>
    <t>Ogółem:</t>
  </si>
  <si>
    <t>środki JST</t>
  </si>
  <si>
    <t>kredyty, pożyczki i obligacje</t>
  </si>
  <si>
    <t>inne środki</t>
  </si>
  <si>
    <t xml:space="preserve">Modernizacja nawierzchni dróg na osiedlu Podczele: </t>
  </si>
  <si>
    <t>2.1</t>
  </si>
  <si>
    <t>Przebudowa ul. Brzeskiej</t>
  </si>
  <si>
    <t>2004-2011</t>
  </si>
  <si>
    <t>2.2</t>
  </si>
  <si>
    <t>Przebudowa ul. Tarnopolskiej</t>
  </si>
  <si>
    <t>2004-2013</t>
  </si>
  <si>
    <t>2.3</t>
  </si>
  <si>
    <t>Przebudowa ul. Wileńskiej</t>
  </si>
  <si>
    <t>2.4</t>
  </si>
  <si>
    <t>Przebudowa ul. Krzemienieckiej</t>
  </si>
  <si>
    <t>2004-2010</t>
  </si>
  <si>
    <t>2.5</t>
  </si>
  <si>
    <t>Przebudowa ul. Grodzieńskiej</t>
  </si>
  <si>
    <t>2004-2009</t>
  </si>
  <si>
    <t>2.6</t>
  </si>
  <si>
    <t>Przebudowa ul. Poleskiej</t>
  </si>
  <si>
    <t>2.7</t>
  </si>
  <si>
    <t>Przebudowa ul. Podolskiej</t>
  </si>
  <si>
    <t>2004-2012</t>
  </si>
  <si>
    <t>2.8</t>
  </si>
  <si>
    <t>Przebudowa ul. Pińskiej</t>
  </si>
  <si>
    <t>Przebudowa ulic: Radomska i Warcisława III</t>
  </si>
  <si>
    <t>3.1</t>
  </si>
  <si>
    <t>Przebudowa ul. Radomskiej</t>
  </si>
  <si>
    <t>3.2</t>
  </si>
  <si>
    <t>Przebudowa ul. Warcisława III</t>
  </si>
  <si>
    <t>Przebudowa dróg na osiedlu Radzikowo II: Bosmańska, Kapitańska, Marynarska, Partyzantów, Pierwszych Osadników, Synów Pułku, Zbowidowców Żeglarska.</t>
  </si>
  <si>
    <t>2007-2013</t>
  </si>
  <si>
    <t>Przebudowa ul. Kresowej</t>
  </si>
  <si>
    <t>Przebudowa ul. Kołłątaja</t>
  </si>
  <si>
    <t>2006-2010</t>
  </si>
  <si>
    <t>Przebudowa ul. Krakusa i Wandy</t>
  </si>
  <si>
    <t>Przebudowa ul. Wiosennej</t>
  </si>
  <si>
    <t>2012-2013</t>
  </si>
  <si>
    <t>Przebudowa ul. Towarowej i ul. Zdrojowej</t>
  </si>
  <si>
    <t>Przebudowa ul. Chopina</t>
  </si>
  <si>
    <t xml:space="preserve">Drogi na osiedlu Radzikowo IV wraz z kanalizacją deszczową w tym: </t>
  </si>
  <si>
    <t>11.1</t>
  </si>
  <si>
    <t>ul. Moniuszki</t>
  </si>
  <si>
    <t>2005-2010</t>
  </si>
  <si>
    <t xml:space="preserve">Drogi na osiedlu Witkowice III - budowa w tym: </t>
  </si>
  <si>
    <t>12.1</t>
  </si>
  <si>
    <t>ul. Orłowskiego</t>
  </si>
  <si>
    <t>12.2</t>
  </si>
  <si>
    <t>ul. Gierymskich</t>
  </si>
  <si>
    <t>12.3</t>
  </si>
  <si>
    <t>ul. Skoczylasa</t>
  </si>
  <si>
    <t>12.4</t>
  </si>
  <si>
    <t>ul. Makowskiego</t>
  </si>
  <si>
    <t>12.5</t>
  </si>
  <si>
    <t>ul. Michałowskiego</t>
  </si>
  <si>
    <t xml:space="preserve">Drogi na osiedlu domów jednorodzinnych przy ul. 6 Dyw. Piechoty w tym: </t>
  </si>
  <si>
    <t>13.1</t>
  </si>
  <si>
    <t>ul. Kmicica</t>
  </si>
  <si>
    <t>13.2</t>
  </si>
  <si>
    <t>ul. Wołodyjowskiego</t>
  </si>
  <si>
    <t>13.3</t>
  </si>
  <si>
    <t>ul. Ketlinga</t>
  </si>
  <si>
    <t>13.4</t>
  </si>
  <si>
    <t>ul. Zagłoby</t>
  </si>
  <si>
    <t>13.5</t>
  </si>
  <si>
    <t>ul. Hajduczka</t>
  </si>
  <si>
    <t>13.6</t>
  </si>
  <si>
    <t>ul. Kiemliczów</t>
  </si>
  <si>
    <t>13.7</t>
  </si>
  <si>
    <t>ul. Billewiczówny</t>
  </si>
  <si>
    <t>13.8</t>
  </si>
  <si>
    <t>ul. Skrzetuskiego</t>
  </si>
  <si>
    <t>13.9</t>
  </si>
  <si>
    <t>ul. Kordeckiego</t>
  </si>
  <si>
    <t xml:space="preserve">Budowa dróg na os. Domów wielorodzinnych przy ul. 6 Dyw. Piechoty "Os. Europejskie" w tym: </t>
  </si>
  <si>
    <t>14.1</t>
  </si>
  <si>
    <t>ul. Brukselska</t>
  </si>
  <si>
    <t>2007-2009</t>
  </si>
  <si>
    <t>14.2</t>
  </si>
  <si>
    <t>ul. Helslińska</t>
  </si>
  <si>
    <t>14.3</t>
  </si>
  <si>
    <t>ul. Sztokholmska</t>
  </si>
  <si>
    <t>Przebudowa Kładki dla pieszych pomiędzy ul. Norwida i Kolejową</t>
  </si>
  <si>
    <t>2008-2010</t>
  </si>
  <si>
    <t>Budowa ciągu komunikacyjnego osiedla Radzikowo III do morza</t>
  </si>
  <si>
    <t>2007-2010</t>
  </si>
  <si>
    <t xml:space="preserve">Modernizacja i rozbudowa Portu Jachtowego w Kołobrzegu -Etap I            </t>
  </si>
  <si>
    <t>2007-2011</t>
  </si>
  <si>
    <t>Budowa dworca pasażerskiego dla Żeglugi Międzynarodowej Promowej w Kołobrzegu</t>
  </si>
  <si>
    <t xml:space="preserve">Przebudowa ul. Rodziewiczówny    </t>
  </si>
  <si>
    <t xml:space="preserve">Poprawa dostępności do Portu Kołobrzeg od strony lądu (drogi i kolej). Etap II  </t>
  </si>
  <si>
    <t xml:space="preserve">Poprawa dostępności do Portu Kołobrzeg od strony lądu. Etap III   </t>
  </si>
  <si>
    <t>2007-2012</t>
  </si>
  <si>
    <t>Budowa Mieszkań Komunalnych i Socjalnych</t>
  </si>
  <si>
    <t>2008-2011</t>
  </si>
  <si>
    <t>2008-2012</t>
  </si>
  <si>
    <t>Termomodernizacja obiektów użyteczności publicznej z tego:</t>
  </si>
  <si>
    <t>27.1</t>
  </si>
  <si>
    <t>Termomodernizacja Przedszkola nr 3</t>
  </si>
  <si>
    <t>2008-2009</t>
  </si>
  <si>
    <t>27.2</t>
  </si>
  <si>
    <t>Termomodernizacja Przedszkola nr 7</t>
  </si>
  <si>
    <t>27.3</t>
  </si>
  <si>
    <t>Termomodernizacja Przedszkola nr 8</t>
  </si>
  <si>
    <t>Rozbudowa Szkoły Podstawowej nr 6 - wykonanie dokumentacji i budowa</t>
  </si>
  <si>
    <t>Przebudowa boiska szkolnego przy Gimnazjum nr 3</t>
  </si>
  <si>
    <t>2006-2009</t>
  </si>
  <si>
    <t>Centrum Pomocy Społecznej i Współdziałania z Organizacjami Pozarządowymi</t>
  </si>
  <si>
    <t>Zabezpieczenie przeciwpowodziowe dzielnicy zachodniej wraz budową odpływu do morza w km 336+150</t>
  </si>
  <si>
    <t>2006-2013</t>
  </si>
  <si>
    <t>Rewitalizacja parków miejskich</t>
  </si>
  <si>
    <t xml:space="preserve">Ochrona brzegu morskiego, rewitalizacja plaż - refulacja, budowa ostróg.  </t>
  </si>
  <si>
    <t>Urząd Morski i Gmina Miasto Kołobrzeg</t>
  </si>
  <si>
    <t>Toalety publiczne na terenie miasta Kołobrzeg</t>
  </si>
  <si>
    <t>2005-2013</t>
  </si>
  <si>
    <t xml:space="preserve">Przebudowa kanałów deszczowych w pasie drogowym ul. Łopuskiego   </t>
  </si>
  <si>
    <t xml:space="preserve">Budowa i modernizacja kanalizacji deszczowej na terenie miasta osiedle Radzikowo II,    </t>
  </si>
  <si>
    <t>2006-2012</t>
  </si>
  <si>
    <t xml:space="preserve">Rewitalizacja: parku nadmorskiego, parku Jedności Narodowej.   </t>
  </si>
  <si>
    <t>Odbudowa odpływu do morza w km 330+750 w rejonie ulicy Sułkowskiego</t>
  </si>
  <si>
    <t>Przebudowa istniejącego systemu deszczowego- rejon ul. IV Dywizji Wojska Polskiego , Wschodniej</t>
  </si>
  <si>
    <t>Przebudowa wylotu do morza w km 331+370 wraz z przebudową istniejącej kanalizacji deszczowej w rejonie ulicy A. Fredry i Szańca Kamiennego</t>
  </si>
  <si>
    <t>Odbudowa odpływu do morza w km 326+875 w rejonie ul. Brzeskiej</t>
  </si>
  <si>
    <t>Przebudowa istniejących odpływów kanalizacji deszczowej odprowadzających wody opadowe i roztopowe do rzeki Parsęty, Kanału Drzewnego oraz Stramniczki ( montaż separatorów, klap zwrotnych )</t>
  </si>
  <si>
    <t>2008-2013</t>
  </si>
  <si>
    <t>Przebudowa systemu deszczowego odprowadzającego wody deszczowe i roztopowe z rejonu ulicy Myśliwskiej, Kupieckiej, Ogrodowej.</t>
  </si>
  <si>
    <t>Odbudowa odpływu do morza - rejon Grobli, Podczele</t>
  </si>
  <si>
    <t xml:space="preserve">Renowacja budynku Ratusza </t>
  </si>
  <si>
    <t xml:space="preserve">Regionalne Centrum Kultury w Kołobrzegu - etap I i II         </t>
  </si>
  <si>
    <t xml:space="preserve">Regionalne Centrum Sportu - zagospodarowanie terenów sportowych przy ul Śliwińskiego   </t>
  </si>
  <si>
    <t>2005-2011</t>
  </si>
  <si>
    <t>Plac rekreacyjno - sportowy z kortem tenisowym i torem do jazdy na deskorolce na osiedlu Ogrody - S.2.1.</t>
  </si>
  <si>
    <t>2005-2009</t>
  </si>
  <si>
    <t xml:space="preserve">Korty tenisowe  </t>
  </si>
  <si>
    <t>RAZEM</t>
  </si>
  <si>
    <t>Zaznaczono ujęte w budżecie Gminy Miasto Kołobrzeg w 2009 r.</t>
  </si>
  <si>
    <r>
      <t xml:space="preserve">Budowa ścieżki rowerowej do Grzybowa z odwodnieniem  </t>
    </r>
    <r>
      <rPr>
        <b/>
        <sz val="11"/>
        <color indexed="10"/>
        <rFont val="Arial"/>
        <family val="2"/>
      </rPr>
      <t xml:space="preserve"> </t>
    </r>
  </si>
  <si>
    <r>
      <t xml:space="preserve">Budowa ciągu pieszo-rowerowego od ul. Brzeskiej do granic miasta z gm. Ustronie Morskie </t>
    </r>
    <r>
      <rPr>
        <b/>
        <sz val="11"/>
        <color indexed="10"/>
        <rFont val="Arial"/>
        <family val="2"/>
      </rPr>
      <t xml:space="preserve"> </t>
    </r>
  </si>
  <si>
    <r>
      <t xml:space="preserve">Poprawa dostępności do Portu Kołobrzeg od strony lądu (drogi i kolej). Etap I   </t>
    </r>
    <r>
      <rPr>
        <b/>
        <sz val="11"/>
        <color indexed="10"/>
        <rFont val="Arial"/>
        <family val="2"/>
      </rPr>
      <t xml:space="preserve"> </t>
    </r>
  </si>
  <si>
    <r>
      <t xml:space="preserve">Budowa sieci informatycznej miasta  </t>
    </r>
    <r>
      <rPr>
        <b/>
        <sz val="11"/>
        <color indexed="10"/>
        <rFont val="Arial"/>
        <family val="2"/>
      </rPr>
      <t xml:space="preserve"> </t>
    </r>
  </si>
  <si>
    <t>Rady Miasta Kołobrzeg</t>
  </si>
  <si>
    <t>z dnia 10 lutego 2009 r.</t>
  </si>
  <si>
    <t>z dnia 16 grudnia 2008 r.</t>
  </si>
  <si>
    <t>Budowa zespołu boisk w ramach Programu"Moje boisko Orlik 2012" przy Szkole Podstawowej nr 4</t>
  </si>
  <si>
    <t>Zarząd Portu Morskiego Kołobrzeg i ZROT</t>
  </si>
  <si>
    <t>Zaznaczono zmiany z niniejszej uchwały</t>
  </si>
  <si>
    <t xml:space="preserve"> zmieniający załącznik Nr 16 do uchwały Nr XXVII/380/08</t>
  </si>
  <si>
    <t>Załącznik Nr 3 do uchwały Nr XXIX/395/09</t>
  </si>
</sst>
</file>

<file path=xl/styles.xml><?xml version="1.0" encoding="utf-8"?>
<styleSheet xmlns="http://schemas.openxmlformats.org/spreadsheetml/2006/main">
  <numFmts count="7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"/>
    <numFmt numFmtId="166" formatCode="_-* #,##0.000\ _z_ł_-;\-* #,##0.000\ _z_ł_-;_-* &quot;-&quot;??\ _z_ł_-;_-@_-"/>
    <numFmt numFmtId="167" formatCode="_-* #,##0.0\ _z_ł_-;\-* #,##0.0\ _z_ł_-;_-* &quot;-&quot;??\ _z_ł_-;_-@_-"/>
    <numFmt numFmtId="168" formatCode="_-* #,##0\ _z_ł_-;\-* #,##0\ _z_ł_-;_-* &quot;-&quot;??\ _z_ł_-;_-@_-"/>
    <numFmt numFmtId="169" formatCode="#,##0_ ;\-#,##0\ "/>
    <numFmt numFmtId="170" formatCode="_-* #,##0.0000\ _z_ł_-;\-* #,##0.0000\ _z_ł_-;_-* &quot;-&quot;??\ _z_ł_-;_-@_-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00#"/>
    <numFmt numFmtId="177" formatCode="##,##0"/>
    <numFmt numFmtId="178" formatCode="00#"/>
    <numFmt numFmtId="179" formatCode="000#"/>
    <numFmt numFmtId="180" formatCode="&quot;$&quot;#,##0\ \);\(&quot;$&quot;#,##0\)"/>
    <numFmt numFmtId="181" formatCode="&quot;$&quot;#,##0\ \);[Red]\(&quot;$&quot;#,##0\)"/>
    <numFmt numFmtId="182" formatCode="&quot;$&quot;#,##0.00\ \);\(&quot;$&quot;#,##0.00\)"/>
    <numFmt numFmtId="183" formatCode="&quot;$&quot;#,##0.00\ \);[Red]\(&quot;$&quot;#,##0.00\)"/>
    <numFmt numFmtId="184" formatCode="\(&quot;$&quot;* #,##0\ \);\ \(&quot;$&quot;* \(#,##0\);\ \(&quot;$&quot;* &quot;-&quot;\ \);\ \(@\ \)"/>
    <numFmt numFmtId="185" formatCode="\(* #,##0\ \);\ \(* \(#,##0\);\ \(* &quot;-&quot;\ \);\ \(@\ \)"/>
    <numFmt numFmtId="186" formatCode="\(&quot;$&quot;* #,##0.00\ \);\ \(&quot;$&quot;* \(#,##0.00\);\ \(&quot;$&quot;* &quot;-&quot;??\ \);\ \(@\ \)"/>
    <numFmt numFmtId="187" formatCode="\(* #,##0.00\ \);\ \(* \(#,##0.00\);\ \(* &quot;-&quot;??\ \);\ \(@\ \)"/>
    <numFmt numFmtId="188" formatCode="000"/>
    <numFmt numFmtId="189" formatCode="???,??0.00"/>
    <numFmt numFmtId="190" formatCode="00000"/>
    <numFmt numFmtId="191" formatCode="????"/>
    <numFmt numFmtId="192" formatCode="?,??0.00"/>
    <numFmt numFmtId="193" formatCode="0000"/>
    <numFmt numFmtId="194" formatCode="???"/>
    <numFmt numFmtId="195" formatCode="??,??0.00"/>
    <numFmt numFmtId="196" formatCode="?????"/>
    <numFmt numFmtId="197" formatCode="?"/>
    <numFmt numFmtId="198" formatCode="??0.00"/>
    <numFmt numFmtId="199" formatCode="?,???,??0.00"/>
    <numFmt numFmtId="200" formatCode="?0.00"/>
    <numFmt numFmtId="201" formatCode="??,???,??0.00"/>
    <numFmt numFmtId="202" formatCode="0.0%"/>
    <numFmt numFmtId="203" formatCode="#,##0.00_ ;[Red]\-#,##0.00\ "/>
    <numFmt numFmtId="204" formatCode="#,##0.00\ &quot;zł&quot;"/>
    <numFmt numFmtId="205" formatCode="#,##0.00_ ;\-#,##0.00\ "/>
    <numFmt numFmtId="206" formatCode="0.000"/>
    <numFmt numFmtId="207" formatCode="0.0000"/>
    <numFmt numFmtId="208" formatCode="[$-415]d\ mmmm\ yyyy"/>
    <numFmt numFmtId="209" formatCode="[$-F400]h:mm:ss\ AM/PM"/>
    <numFmt numFmtId="210" formatCode="&quot;£&quot;#,##0;\-&quot;£&quot;#,##0"/>
    <numFmt numFmtId="211" formatCode="&quot;£&quot;#,##0;[Red]\-&quot;£&quot;#,##0"/>
    <numFmt numFmtId="212" formatCode="&quot;£&quot;#,##0.00;\-&quot;£&quot;#,##0.00"/>
    <numFmt numFmtId="213" formatCode="&quot;£&quot;#,##0.00;[Red]\-&quot;£&quot;#,##0.00"/>
    <numFmt numFmtId="214" formatCode="_-&quot;£&quot;* #,##0_-;\-&quot;£&quot;* #,##0_-;_-&quot;£&quot;* &quot;-&quot;_-;_-@_-"/>
    <numFmt numFmtId="215" formatCode="_-* #,##0_-;\-* #,##0_-;_-* &quot;-&quot;_-;_-@_-"/>
    <numFmt numFmtId="216" formatCode="_-&quot;£&quot;* #,##0.00_-;\-&quot;£&quot;* #,##0.00_-;_-&quot;£&quot;* &quot;-&quot;??_-;_-@_-"/>
    <numFmt numFmtId="217" formatCode="_-* #,##0.00_-;\-* #,##0.00_-;_-* &quot;-&quot;??_-;_-@_-"/>
    <numFmt numFmtId="218" formatCode="#,##0\ &quot;€&quot;;\-#,##0\ &quot;€&quot;"/>
    <numFmt numFmtId="219" formatCode="#,##0\ &quot;€&quot;;[Red]\-#,##0\ &quot;€&quot;"/>
    <numFmt numFmtId="220" formatCode="#,##0.00\ &quot;€&quot;;\-#,##0.00\ &quot;€&quot;"/>
    <numFmt numFmtId="221" formatCode="#,##0.00\ &quot;€&quot;;[Red]\-#,##0.00\ &quot;€&quot;"/>
    <numFmt numFmtId="222" formatCode="_-* #,##0\ &quot;€&quot;_-;\-* #,##0\ &quot;€&quot;_-;_-* &quot;-&quot;\ &quot;€&quot;_-;_-@_-"/>
    <numFmt numFmtId="223" formatCode="_-* #,##0\ _€_-;\-* #,##0\ _€_-;_-* &quot;-&quot;\ _€_-;_-@_-"/>
    <numFmt numFmtId="224" formatCode="_-* #,##0.00\ &quot;€&quot;_-;\-* #,##0.00\ &quot;€&quot;_-;_-* &quot;-&quot;??\ &quot;€&quot;_-;_-@_-"/>
    <numFmt numFmtId="225" formatCode="_-* #,##0.00\ _€_-;\-* #,##0.00\ _€_-;_-* &quot;-&quot;??\ _€_-;_-@_-"/>
    <numFmt numFmtId="226" formatCode="#,##0.00\ _z_ł"/>
    <numFmt numFmtId="227" formatCode="#,##0\ [$€-1];[Red]\-#,##0\ [$€-1]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E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u val="single"/>
      <sz val="10"/>
      <color indexed="36"/>
      <name val="Arial CE"/>
      <family val="0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E"/>
      <family val="2"/>
    </font>
    <font>
      <sz val="10"/>
      <color indexed="8"/>
      <name val="Arial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CE"/>
      <family val="0"/>
    </font>
    <font>
      <sz val="11"/>
      <name val="Arial"/>
      <family val="2"/>
    </font>
    <font>
      <b/>
      <sz val="11"/>
      <color indexed="10"/>
      <name val="Arial"/>
      <family val="2"/>
    </font>
    <font>
      <sz val="10"/>
      <name val="Arial CE"/>
      <family val="0"/>
    </font>
    <font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0" applyNumberFormat="0" applyBorder="0" applyAlignment="0" applyProtection="0"/>
    <xf numFmtId="0" fontId="3" fillId="32" borderId="1" applyNumberFormat="0" applyAlignment="0" applyProtection="0"/>
    <xf numFmtId="0" fontId="4" fillId="33" borderId="0" applyNumberFormat="0" applyBorder="0" applyAlignment="0" applyProtection="0"/>
    <xf numFmtId="0" fontId="5" fillId="32" borderId="2" applyNumberFormat="0" applyAlignment="0" applyProtection="0"/>
    <xf numFmtId="0" fontId="6" fillId="34" borderId="2" applyNumberFormat="0" applyAlignment="0" applyProtection="0"/>
    <xf numFmtId="0" fontId="7" fillId="2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7" borderId="2" applyNumberFormat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27" borderId="2" applyNumberFormat="0" applyAlignment="0" applyProtection="0"/>
    <xf numFmtId="0" fontId="16" fillId="0" borderId="8" applyNumberFormat="0" applyFill="0" applyAlignment="0" applyProtection="0"/>
    <xf numFmtId="0" fontId="17" fillId="38" borderId="0" applyNumberFormat="0" applyBorder="0" applyAlignment="0" applyProtection="0"/>
    <xf numFmtId="0" fontId="0" fillId="20" borderId="9" applyNumberFormat="0" applyFont="0" applyAlignment="0" applyProtection="0"/>
    <xf numFmtId="0" fontId="0" fillId="39" borderId="9" applyNumberFormat="0" applyFont="0" applyAlignment="0" applyProtection="0"/>
    <xf numFmtId="0" fontId="18" fillId="0" borderId="0" applyNumberFormat="0" applyFill="0" applyBorder="0" applyAlignment="0" applyProtection="0"/>
    <xf numFmtId="0" fontId="3" fillId="34" borderId="1" applyNumberForma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3" fillId="0" borderId="6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0" borderId="3" applyNumberFormat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right"/>
    </xf>
    <xf numFmtId="4" fontId="0" fillId="0" borderId="0" xfId="0" applyNumberFormat="1" applyFill="1" applyAlignment="1">
      <alignment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horizontal="right"/>
    </xf>
    <xf numFmtId="0" fontId="29" fillId="0" borderId="0" xfId="0" applyFont="1" applyFill="1" applyAlignment="1">
      <alignment horizontal="center"/>
    </xf>
    <xf numFmtId="0" fontId="30" fillId="4" borderId="13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7" xfId="0" applyFont="1" applyFill="1" applyBorder="1" applyAlignment="1">
      <alignment horizontal="center" vertical="center" wrapText="1"/>
    </xf>
    <xf numFmtId="0" fontId="30" fillId="4" borderId="18" xfId="0" applyFont="1" applyFill="1" applyBorder="1" applyAlignment="1">
      <alignment horizontal="center" vertical="center" wrapText="1"/>
    </xf>
    <xf numFmtId="49" fontId="31" fillId="0" borderId="19" xfId="0" applyNumberFormat="1" applyFont="1" applyFill="1" applyBorder="1" applyAlignment="1">
      <alignment horizontal="center"/>
    </xf>
    <xf numFmtId="49" fontId="31" fillId="0" borderId="13" xfId="0" applyNumberFormat="1" applyFont="1" applyFill="1" applyBorder="1" applyAlignment="1">
      <alignment horizontal="center"/>
    </xf>
    <xf numFmtId="49" fontId="31" fillId="0" borderId="14" xfId="0" applyNumberFormat="1" applyFont="1" applyFill="1" applyBorder="1" applyAlignment="1">
      <alignment horizontal="center"/>
    </xf>
    <xf numFmtId="49" fontId="31" fillId="0" borderId="20" xfId="0" applyNumberFormat="1" applyFont="1" applyFill="1" applyBorder="1" applyAlignment="1">
      <alignment horizontal="center"/>
    </xf>
    <xf numFmtId="49" fontId="31" fillId="0" borderId="21" xfId="0" applyNumberFormat="1" applyFont="1" applyFill="1" applyBorder="1" applyAlignment="1">
      <alignment horizontal="center"/>
    </xf>
    <xf numFmtId="49" fontId="31" fillId="0" borderId="16" xfId="0" applyNumberFormat="1" applyFont="1" applyFill="1" applyBorder="1" applyAlignment="1">
      <alignment horizontal="center"/>
    </xf>
    <xf numFmtId="49" fontId="31" fillId="0" borderId="17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4" fontId="31" fillId="0" borderId="20" xfId="0" applyNumberFormat="1" applyFont="1" applyFill="1" applyBorder="1" applyAlignment="1">
      <alignment horizontal="right"/>
    </xf>
    <xf numFmtId="0" fontId="33" fillId="0" borderId="20" xfId="0" applyFont="1" applyFill="1" applyBorder="1" applyAlignment="1">
      <alignment/>
    </xf>
    <xf numFmtId="4" fontId="34" fillId="38" borderId="20" xfId="0" applyNumberFormat="1" applyFont="1" applyFill="1" applyBorder="1" applyAlignment="1">
      <alignment/>
    </xf>
    <xf numFmtId="4" fontId="34" fillId="0" borderId="20" xfId="0" applyNumberFormat="1" applyFont="1" applyFill="1" applyBorder="1" applyAlignment="1">
      <alignment/>
    </xf>
    <xf numFmtId="0" fontId="34" fillId="0" borderId="20" xfId="0" applyFont="1" applyFill="1" applyBorder="1" applyAlignment="1">
      <alignment/>
    </xf>
    <xf numFmtId="0" fontId="34" fillId="0" borderId="20" xfId="0" applyFont="1" applyFill="1" applyBorder="1" applyAlignment="1">
      <alignment wrapText="1"/>
    </xf>
    <xf numFmtId="4" fontId="31" fillId="0" borderId="20" xfId="0" applyNumberFormat="1" applyFont="1" applyFill="1" applyBorder="1" applyAlignment="1">
      <alignment horizontal="right"/>
    </xf>
    <xf numFmtId="0" fontId="31" fillId="0" borderId="19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0" fontId="31" fillId="0" borderId="14" xfId="0" applyFont="1" applyFill="1" applyBorder="1" applyAlignment="1">
      <alignment/>
    </xf>
    <xf numFmtId="4" fontId="31" fillId="0" borderId="14" xfId="0" applyNumberFormat="1" applyFont="1" applyFill="1" applyBorder="1" applyAlignment="1">
      <alignment horizontal="right"/>
    </xf>
    <xf numFmtId="4" fontId="31" fillId="0" borderId="20" xfId="0" applyNumberFormat="1" applyFont="1" applyFill="1" applyBorder="1" applyAlignment="1">
      <alignment/>
    </xf>
    <xf numFmtId="0" fontId="31" fillId="0" borderId="22" xfId="0" applyFont="1" applyFill="1" applyBorder="1" applyAlignment="1">
      <alignment/>
    </xf>
    <xf numFmtId="0" fontId="38" fillId="38" borderId="13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8" fillId="38" borderId="23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38" fillId="0" borderId="17" xfId="0" applyFont="1" applyFill="1" applyBorder="1" applyAlignment="1">
      <alignment/>
    </xf>
    <xf numFmtId="0" fontId="31" fillId="0" borderId="17" xfId="0" applyFont="1" applyFill="1" applyBorder="1" applyAlignment="1">
      <alignment/>
    </xf>
    <xf numFmtId="0" fontId="39" fillId="0" borderId="17" xfId="0" applyFont="1" applyFill="1" applyBorder="1" applyAlignment="1">
      <alignment/>
    </xf>
    <xf numFmtId="0" fontId="38" fillId="0" borderId="18" xfId="0" applyFont="1" applyFill="1" applyBorder="1" applyAlignment="1">
      <alignment/>
    </xf>
    <xf numFmtId="0" fontId="0" fillId="0" borderId="0" xfId="0" applyBorder="1" applyAlignment="1">
      <alignment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38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34" fillId="32" borderId="20" xfId="0" applyNumberFormat="1" applyFont="1" applyFill="1" applyBorder="1" applyAlignment="1">
      <alignment/>
    </xf>
    <xf numFmtId="0" fontId="38" fillId="32" borderId="20" xfId="0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4" fontId="31" fillId="0" borderId="13" xfId="0" applyNumberFormat="1" applyFont="1" applyFill="1" applyBorder="1" applyAlignment="1">
      <alignment horizontal="right"/>
    </xf>
    <xf numFmtId="4" fontId="31" fillId="0" borderId="23" xfId="0" applyNumberFormat="1" applyFont="1" applyFill="1" applyBorder="1" applyAlignment="1">
      <alignment horizontal="right"/>
    </xf>
    <xf numFmtId="4" fontId="31" fillId="0" borderId="16" xfId="0" applyNumberFormat="1" applyFont="1" applyFill="1" applyBorder="1" applyAlignment="1">
      <alignment horizontal="right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/>
    </xf>
    <xf numFmtId="0" fontId="35" fillId="0" borderId="23" xfId="0" applyFont="1" applyFill="1" applyBorder="1" applyAlignment="1">
      <alignment horizontal="center"/>
    </xf>
    <xf numFmtId="0" fontId="35" fillId="0" borderId="16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32" borderId="13" xfId="0" applyFont="1" applyFill="1" applyBorder="1" applyAlignment="1">
      <alignment horizontal="center" vertical="center" wrapText="1"/>
    </xf>
    <xf numFmtId="0" fontId="32" fillId="32" borderId="23" xfId="0" applyFont="1" applyFill="1" applyBorder="1" applyAlignment="1">
      <alignment horizontal="center" vertical="center" wrapText="1"/>
    </xf>
    <xf numFmtId="0" fontId="32" fillId="32" borderId="16" xfId="0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2" fillId="0" borderId="23" xfId="0" applyNumberFormat="1" applyFont="1" applyFill="1" applyBorder="1" applyAlignment="1">
      <alignment horizontal="center" vertical="center" wrapText="1"/>
    </xf>
    <xf numFmtId="0" fontId="32" fillId="0" borderId="16" xfId="0" applyNumberFormat="1" applyFont="1" applyFill="1" applyBorder="1" applyAlignment="1">
      <alignment horizontal="center" vertical="center" wrapText="1"/>
    </xf>
    <xf numFmtId="3" fontId="32" fillId="0" borderId="13" xfId="0" applyNumberFormat="1" applyFont="1" applyFill="1" applyBorder="1" applyAlignment="1">
      <alignment horizontal="center" vertical="center" wrapText="1"/>
    </xf>
    <xf numFmtId="3" fontId="32" fillId="0" borderId="23" xfId="0" applyNumberFormat="1" applyFont="1" applyFill="1" applyBorder="1" applyAlignment="1">
      <alignment horizontal="center" vertical="center" wrapText="1"/>
    </xf>
    <xf numFmtId="3" fontId="32" fillId="0" borderId="16" xfId="0" applyNumberFormat="1" applyFont="1" applyFill="1" applyBorder="1" applyAlignment="1">
      <alignment horizontal="center" vertical="center" wrapText="1"/>
    </xf>
    <xf numFmtId="3" fontId="32" fillId="32" borderId="13" xfId="0" applyNumberFormat="1" applyFont="1" applyFill="1" applyBorder="1" applyAlignment="1">
      <alignment horizontal="center" vertical="center" wrapText="1"/>
    </xf>
    <xf numFmtId="3" fontId="32" fillId="32" borderId="23" xfId="0" applyNumberFormat="1" applyFont="1" applyFill="1" applyBorder="1" applyAlignment="1">
      <alignment horizontal="center" vertical="center" wrapText="1"/>
    </xf>
    <xf numFmtId="3" fontId="32" fillId="32" borderId="16" xfId="0" applyNumberFormat="1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1" fillId="32" borderId="13" xfId="0" applyFont="1" applyFill="1" applyBorder="1" applyAlignment="1">
      <alignment horizontal="center" vertical="center" wrapText="1"/>
    </xf>
    <xf numFmtId="0" fontId="31" fillId="32" borderId="23" xfId="0" applyFont="1" applyFill="1" applyBorder="1" applyAlignment="1">
      <alignment horizontal="center" vertical="center" wrapText="1"/>
    </xf>
    <xf numFmtId="0" fontId="31" fillId="32" borderId="16" xfId="0" applyFont="1" applyFill="1" applyBorder="1" applyAlignment="1">
      <alignment horizontal="center" vertical="center" wrapText="1"/>
    </xf>
    <xf numFmtId="3" fontId="36" fillId="0" borderId="13" xfId="0" applyNumberFormat="1" applyFont="1" applyFill="1" applyBorder="1" applyAlignment="1">
      <alignment horizontal="center" vertical="center" wrapText="1"/>
    </xf>
    <xf numFmtId="3" fontId="36" fillId="0" borderId="23" xfId="0" applyNumberFormat="1" applyFont="1" applyFill="1" applyBorder="1" applyAlignment="1">
      <alignment horizontal="center" vertical="center" wrapText="1"/>
    </xf>
    <xf numFmtId="3" fontId="36" fillId="0" borderId="16" xfId="0" applyNumberFormat="1" applyFont="1" applyFill="1" applyBorder="1" applyAlignment="1">
      <alignment horizontal="center" vertical="center" wrapText="1"/>
    </xf>
    <xf numFmtId="0" fontId="30" fillId="4" borderId="25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23" xfId="0" applyFont="1" applyFill="1" applyBorder="1" applyAlignment="1">
      <alignment horizontal="center" vertical="center" wrapText="1"/>
    </xf>
    <xf numFmtId="0" fontId="30" fillId="4" borderId="16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2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/>
    </xf>
    <xf numFmtId="0" fontId="30" fillId="4" borderId="20" xfId="0" applyFont="1" applyFill="1" applyBorder="1" applyAlignment="1">
      <alignment horizontal="center" vertical="center"/>
    </xf>
    <xf numFmtId="0" fontId="30" fillId="4" borderId="20" xfId="0" applyFont="1" applyFill="1" applyBorder="1" applyAlignment="1">
      <alignment horizontal="center" vertical="center" wrapText="1"/>
    </xf>
    <xf numFmtId="0" fontId="30" fillId="4" borderId="19" xfId="0" applyFont="1" applyFill="1" applyBorder="1" applyAlignment="1">
      <alignment horizontal="center" vertical="center" wrapText="1"/>
    </xf>
    <xf numFmtId="0" fontId="30" fillId="4" borderId="22" xfId="0" applyFont="1" applyFill="1" applyBorder="1" applyAlignment="1">
      <alignment horizontal="center" vertical="center" wrapText="1"/>
    </xf>
    <xf numFmtId="0" fontId="30" fillId="4" borderId="24" xfId="0" applyFont="1" applyFill="1" applyBorder="1" applyAlignment="1">
      <alignment horizontal="center" vertical="center" wrapText="1"/>
    </xf>
  </cellXfs>
  <cellStyles count="9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Calculation" xfId="66"/>
    <cellStyle name="Check Cell" xfId="67"/>
    <cellStyle name="Comma" xfId="68"/>
    <cellStyle name="Comma [0]" xfId="69"/>
    <cellStyle name="Eingabe" xfId="70"/>
    <cellStyle name="Emphasis 1" xfId="71"/>
    <cellStyle name="Emphasis 2" xfId="72"/>
    <cellStyle name="Emphasis 3" xfId="73"/>
    <cellStyle name="Ergebnis" xfId="74"/>
    <cellStyle name="Erklärender Text" xfId="75"/>
    <cellStyle name="Good" xfId="76"/>
    <cellStyle name="Gut" xfId="77"/>
    <cellStyle name="Heading 1" xfId="78"/>
    <cellStyle name="Heading 2" xfId="79"/>
    <cellStyle name="Heading 3" xfId="80"/>
    <cellStyle name="Heading 4" xfId="81"/>
    <cellStyle name="Hyperlink" xfId="82"/>
    <cellStyle name="Input" xfId="83"/>
    <cellStyle name="Linked Cell" xfId="84"/>
    <cellStyle name="Neutral" xfId="85"/>
    <cellStyle name="Note" xfId="86"/>
    <cellStyle name="Notiz" xfId="87"/>
    <cellStyle name="Followed Hyperlink" xfId="88"/>
    <cellStyle name="Output" xfId="89"/>
    <cellStyle name="Percent" xfId="90"/>
    <cellStyle name="Schlecht" xfId="91"/>
    <cellStyle name="Sheet Title" xfId="92"/>
    <cellStyle name="Total" xfId="93"/>
    <cellStyle name="Überschrift" xfId="94"/>
    <cellStyle name="Überschrift 1" xfId="95"/>
    <cellStyle name="Überschrift 2" xfId="96"/>
    <cellStyle name="Überschrift 3" xfId="97"/>
    <cellStyle name="Überschrift 4" xfId="98"/>
    <cellStyle name="Verknüpfte Zelle" xfId="99"/>
    <cellStyle name="Currency" xfId="100"/>
    <cellStyle name="Currency [0]" xfId="101"/>
    <cellStyle name="Warnender Text" xfId="102"/>
    <cellStyle name="Warning Text" xfId="103"/>
    <cellStyle name="Zelle überprüfen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4"/>
  <sheetViews>
    <sheetView tabSelected="1" view="pageBreakPreview" zoomScale="95" zoomScaleSheetLayoutView="95" workbookViewId="0" topLeftCell="F1">
      <selection activeCell="O1" sqref="O1"/>
    </sheetView>
  </sheetViews>
  <sheetFormatPr defaultColWidth="9.140625" defaultRowHeight="12.75"/>
  <cols>
    <col min="1" max="1" width="4.57421875" style="1" customWidth="1"/>
    <col min="2" max="2" width="5.8515625" style="1" customWidth="1"/>
    <col min="3" max="3" width="6.7109375" style="1" customWidth="1"/>
    <col min="4" max="4" width="39.57421875" style="1" customWidth="1"/>
    <col min="5" max="5" width="14.57421875" style="1" customWidth="1"/>
    <col min="6" max="6" width="10.00390625" style="1" customWidth="1"/>
    <col min="7" max="7" width="13.7109375" style="1" hidden="1" customWidth="1"/>
    <col min="8" max="8" width="14.421875" style="1" hidden="1" customWidth="1"/>
    <col min="9" max="9" width="11.8515625" style="1" customWidth="1"/>
    <col min="10" max="10" width="13.8515625" style="1" customWidth="1"/>
    <col min="11" max="15" width="14.00390625" style="1" customWidth="1"/>
    <col min="16" max="16" width="2.8515625" style="1" customWidth="1"/>
    <col min="17" max="17" width="15.28125" style="3" customWidth="1"/>
    <col min="18" max="16384" width="9.140625" style="1" customWidth="1"/>
  </cols>
  <sheetData>
    <row r="1" spans="10:16" ht="12.75">
      <c r="J1" s="54"/>
      <c r="K1" s="54"/>
      <c r="L1" s="54"/>
      <c r="M1" s="54"/>
      <c r="N1" s="54"/>
      <c r="O1" s="55" t="s">
        <v>167</v>
      </c>
      <c r="P1" s="2"/>
    </row>
    <row r="2" spans="10:16" ht="12.75">
      <c r="J2" s="56"/>
      <c r="K2" s="56"/>
      <c r="L2" s="56"/>
      <c r="M2" s="56"/>
      <c r="N2" s="56"/>
      <c r="O2" s="57" t="s">
        <v>160</v>
      </c>
      <c r="P2" s="5"/>
    </row>
    <row r="3" spans="10:16" ht="12.75">
      <c r="J3" s="56"/>
      <c r="K3" s="56"/>
      <c r="L3" s="56"/>
      <c r="M3" s="56"/>
      <c r="N3" s="56"/>
      <c r="O3" s="57" t="s">
        <v>161</v>
      </c>
      <c r="P3" s="5"/>
    </row>
    <row r="4" spans="10:16" ht="12.75">
      <c r="J4" s="66" t="s">
        <v>166</v>
      </c>
      <c r="K4" s="66"/>
      <c r="L4" s="66"/>
      <c r="M4" s="66"/>
      <c r="N4" s="66"/>
      <c r="O4" s="66"/>
      <c r="P4" s="52"/>
    </row>
    <row r="5" spans="10:16" ht="12.75">
      <c r="J5" s="58"/>
      <c r="K5" s="58"/>
      <c r="L5" s="58"/>
      <c r="M5" s="65" t="s">
        <v>160</v>
      </c>
      <c r="N5" s="65"/>
      <c r="O5" s="65"/>
      <c r="P5" s="53"/>
    </row>
    <row r="6" spans="10:16" ht="12.75">
      <c r="J6" s="58"/>
      <c r="K6" s="58"/>
      <c r="L6" s="58"/>
      <c r="M6" s="65" t="s">
        <v>162</v>
      </c>
      <c r="N6" s="65"/>
      <c r="O6" s="65"/>
      <c r="P6" s="53"/>
    </row>
    <row r="7" spans="1:15" ht="12.75">
      <c r="A7" s="4"/>
      <c r="O7" s="5"/>
    </row>
    <row r="8" spans="1:15" ht="22.5" customHeight="1">
      <c r="A8" s="110" t="s">
        <v>0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15" ht="22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ht="11.25" customHeight="1"/>
    <row r="12" spans="1:15" ht="12.75">
      <c r="A12" s="111" t="s">
        <v>1</v>
      </c>
      <c r="B12" s="111" t="s">
        <v>2</v>
      </c>
      <c r="C12" s="111" t="s">
        <v>3</v>
      </c>
      <c r="D12" s="112" t="s">
        <v>4</v>
      </c>
      <c r="E12" s="113" t="s">
        <v>5</v>
      </c>
      <c r="F12" s="103" t="s">
        <v>6</v>
      </c>
      <c r="G12" s="103" t="s">
        <v>7</v>
      </c>
      <c r="H12" s="103" t="s">
        <v>8</v>
      </c>
      <c r="I12" s="102" t="s">
        <v>9</v>
      </c>
      <c r="J12" s="103" t="s">
        <v>10</v>
      </c>
      <c r="K12" s="106"/>
      <c r="L12" s="106"/>
      <c r="M12" s="106"/>
      <c r="N12" s="106"/>
      <c r="O12" s="107"/>
    </row>
    <row r="13" spans="1:15" ht="25.5" customHeight="1">
      <c r="A13" s="111"/>
      <c r="B13" s="111"/>
      <c r="C13" s="111"/>
      <c r="D13" s="112"/>
      <c r="E13" s="114"/>
      <c r="F13" s="104"/>
      <c r="G13" s="104"/>
      <c r="H13" s="104"/>
      <c r="I13" s="102"/>
      <c r="J13" s="104"/>
      <c r="K13" s="108"/>
      <c r="L13" s="108"/>
      <c r="M13" s="108"/>
      <c r="N13" s="108"/>
      <c r="O13" s="109"/>
    </row>
    <row r="14" spans="1:15" ht="12.75">
      <c r="A14" s="111"/>
      <c r="B14" s="111"/>
      <c r="C14" s="111"/>
      <c r="D14" s="112"/>
      <c r="E14" s="114"/>
      <c r="F14" s="104"/>
      <c r="G14" s="104"/>
      <c r="H14" s="104"/>
      <c r="I14" s="102"/>
      <c r="J14" s="104"/>
      <c r="K14" s="108"/>
      <c r="L14" s="108"/>
      <c r="M14" s="108"/>
      <c r="N14" s="108"/>
      <c r="O14" s="109"/>
    </row>
    <row r="15" spans="1:15" ht="12.75">
      <c r="A15" s="111"/>
      <c r="B15" s="111"/>
      <c r="C15" s="111"/>
      <c r="D15" s="112"/>
      <c r="E15" s="114"/>
      <c r="F15" s="104"/>
      <c r="G15" s="104"/>
      <c r="H15" s="104"/>
      <c r="I15" s="102"/>
      <c r="J15" s="104"/>
      <c r="K15" s="8"/>
      <c r="L15" s="7"/>
      <c r="M15" s="8"/>
      <c r="N15" s="7"/>
      <c r="O15" s="9"/>
    </row>
    <row r="16" spans="1:15" ht="12.75">
      <c r="A16" s="111"/>
      <c r="B16" s="111"/>
      <c r="C16" s="111"/>
      <c r="D16" s="112"/>
      <c r="E16" s="115"/>
      <c r="F16" s="105"/>
      <c r="G16" s="105"/>
      <c r="H16" s="105"/>
      <c r="I16" s="102"/>
      <c r="J16" s="105"/>
      <c r="K16" s="11" t="s">
        <v>11</v>
      </c>
      <c r="L16" s="10" t="s">
        <v>12</v>
      </c>
      <c r="M16" s="11" t="s">
        <v>13</v>
      </c>
      <c r="N16" s="10" t="s">
        <v>14</v>
      </c>
      <c r="O16" s="12" t="s">
        <v>15</v>
      </c>
    </row>
    <row r="17" spans="1:17" s="20" customFormat="1" ht="12">
      <c r="A17" s="13">
        <v>1</v>
      </c>
      <c r="B17" s="14">
        <v>2</v>
      </c>
      <c r="C17" s="15">
        <v>3</v>
      </c>
      <c r="D17" s="16">
        <v>4</v>
      </c>
      <c r="E17" s="17">
        <v>5</v>
      </c>
      <c r="F17" s="18">
        <v>6</v>
      </c>
      <c r="G17" s="19"/>
      <c r="H17" s="19"/>
      <c r="I17" s="17">
        <v>7</v>
      </c>
      <c r="J17" s="16">
        <v>8</v>
      </c>
      <c r="K17" s="16">
        <v>10</v>
      </c>
      <c r="L17" s="17">
        <v>11</v>
      </c>
      <c r="M17" s="16">
        <v>12</v>
      </c>
      <c r="N17" s="17">
        <v>13</v>
      </c>
      <c r="O17" s="16">
        <v>14</v>
      </c>
      <c r="Q17" s="21"/>
    </row>
    <row r="18" spans="1:17" s="20" customFormat="1" ht="11.25" customHeight="1">
      <c r="A18" s="64">
        <v>1</v>
      </c>
      <c r="B18" s="72">
        <v>600</v>
      </c>
      <c r="C18" s="72">
        <v>60016</v>
      </c>
      <c r="D18" s="78" t="s">
        <v>16</v>
      </c>
      <c r="E18" s="61" t="s">
        <v>17</v>
      </c>
      <c r="F18" s="72" t="s">
        <v>18</v>
      </c>
      <c r="G18" s="22">
        <v>73</v>
      </c>
      <c r="H18" s="22">
        <v>12200</v>
      </c>
      <c r="I18" s="67">
        <f>SUM(K18:O18)+G18+H18</f>
        <v>812273</v>
      </c>
      <c r="J18" s="23" t="s">
        <v>19</v>
      </c>
      <c r="K18" s="24">
        <f>K19+K20+K21</f>
        <v>200000</v>
      </c>
      <c r="L18" s="25">
        <f>L19+L20+L21</f>
        <v>600000</v>
      </c>
      <c r="M18" s="25">
        <f>M19+M20+M21</f>
        <v>0</v>
      </c>
      <c r="N18" s="25">
        <f>N19+N20+N21</f>
        <v>0</v>
      </c>
      <c r="O18" s="25">
        <f>O19+O20+O21</f>
        <v>0</v>
      </c>
      <c r="Q18" s="21"/>
    </row>
    <row r="19" spans="1:17" s="20" customFormat="1" ht="12">
      <c r="A19" s="70"/>
      <c r="B19" s="73"/>
      <c r="C19" s="73"/>
      <c r="D19" s="79"/>
      <c r="E19" s="62"/>
      <c r="F19" s="73"/>
      <c r="G19" s="22"/>
      <c r="H19" s="22"/>
      <c r="I19" s="68"/>
      <c r="J19" s="26" t="s">
        <v>20</v>
      </c>
      <c r="K19" s="24">
        <v>200000</v>
      </c>
      <c r="L19" s="25">
        <v>600000</v>
      </c>
      <c r="M19" s="25"/>
      <c r="N19" s="25"/>
      <c r="O19" s="25"/>
      <c r="Q19" s="21"/>
    </row>
    <row r="20" spans="1:17" s="20" customFormat="1" ht="22.5">
      <c r="A20" s="70"/>
      <c r="B20" s="73"/>
      <c r="C20" s="73"/>
      <c r="D20" s="79"/>
      <c r="E20" s="62"/>
      <c r="F20" s="73"/>
      <c r="G20" s="22"/>
      <c r="H20" s="22"/>
      <c r="I20" s="68"/>
      <c r="J20" s="27" t="s">
        <v>21</v>
      </c>
      <c r="K20" s="24"/>
      <c r="L20" s="25"/>
      <c r="M20" s="25"/>
      <c r="N20" s="25"/>
      <c r="O20" s="25"/>
      <c r="Q20" s="21"/>
    </row>
    <row r="21" spans="1:17" s="20" customFormat="1" ht="12">
      <c r="A21" s="71"/>
      <c r="B21" s="74"/>
      <c r="C21" s="74"/>
      <c r="D21" s="80"/>
      <c r="E21" s="63"/>
      <c r="F21" s="74"/>
      <c r="G21" s="22"/>
      <c r="H21" s="22"/>
      <c r="I21" s="69"/>
      <c r="J21" s="26" t="s">
        <v>22</v>
      </c>
      <c r="K21" s="24"/>
      <c r="L21" s="25"/>
      <c r="M21" s="25"/>
      <c r="N21" s="25"/>
      <c r="O21" s="25"/>
      <c r="Q21" s="21"/>
    </row>
    <row r="22" spans="1:17" s="20" customFormat="1" ht="11.25" customHeight="1">
      <c r="A22" s="75">
        <v>2</v>
      </c>
      <c r="B22" s="72">
        <v>600</v>
      </c>
      <c r="C22" s="72">
        <v>60016</v>
      </c>
      <c r="D22" s="78" t="s">
        <v>23</v>
      </c>
      <c r="E22" s="61" t="s">
        <v>17</v>
      </c>
      <c r="F22" s="72"/>
      <c r="G22" s="22">
        <v>0</v>
      </c>
      <c r="H22" s="22">
        <f>SUM(H26,H30,H34,H38,H42,H46,H50,H54)</f>
        <v>20000</v>
      </c>
      <c r="I22" s="67">
        <f>SUM(K22:O22)+G22+H22</f>
        <v>3890000</v>
      </c>
      <c r="J22" s="23" t="s">
        <v>19</v>
      </c>
      <c r="K22" s="24">
        <f>K23+K25</f>
        <v>835000</v>
      </c>
      <c r="L22" s="25">
        <f>L23+L25</f>
        <v>955000</v>
      </c>
      <c r="M22" s="25">
        <f>M23+M25</f>
        <v>1180000</v>
      </c>
      <c r="N22" s="25">
        <f>N23+N25</f>
        <v>300000</v>
      </c>
      <c r="O22" s="25">
        <f>O23+O25</f>
        <v>600000</v>
      </c>
      <c r="Q22" s="21"/>
    </row>
    <row r="23" spans="1:17" s="20" customFormat="1" ht="12">
      <c r="A23" s="76"/>
      <c r="B23" s="73"/>
      <c r="C23" s="73"/>
      <c r="D23" s="79"/>
      <c r="E23" s="62"/>
      <c r="F23" s="73"/>
      <c r="G23" s="22"/>
      <c r="H23" s="22"/>
      <c r="I23" s="68"/>
      <c r="J23" s="26" t="s">
        <v>20</v>
      </c>
      <c r="K23" s="24">
        <f aca="true" t="shared" si="0" ref="K23:O25">K27+K31+K35+K39+K43+K47+K51+K55</f>
        <v>835000</v>
      </c>
      <c r="L23" s="25">
        <f t="shared" si="0"/>
        <v>955000</v>
      </c>
      <c r="M23" s="25">
        <f t="shared" si="0"/>
        <v>1180000</v>
      </c>
      <c r="N23" s="25">
        <f t="shared" si="0"/>
        <v>300000</v>
      </c>
      <c r="O23" s="25">
        <f t="shared" si="0"/>
        <v>600000</v>
      </c>
      <c r="Q23" s="21"/>
    </row>
    <row r="24" spans="1:17" s="20" customFormat="1" ht="22.5">
      <c r="A24" s="76"/>
      <c r="B24" s="73"/>
      <c r="C24" s="73"/>
      <c r="D24" s="79"/>
      <c r="E24" s="62"/>
      <c r="F24" s="73"/>
      <c r="G24" s="22"/>
      <c r="H24" s="22"/>
      <c r="I24" s="68"/>
      <c r="J24" s="27" t="s">
        <v>21</v>
      </c>
      <c r="K24" s="24">
        <f t="shared" si="0"/>
        <v>0</v>
      </c>
      <c r="L24" s="25">
        <f t="shared" si="0"/>
        <v>0</v>
      </c>
      <c r="M24" s="25">
        <f t="shared" si="0"/>
        <v>0</v>
      </c>
      <c r="N24" s="25">
        <f t="shared" si="0"/>
        <v>0</v>
      </c>
      <c r="O24" s="25">
        <f t="shared" si="0"/>
        <v>0</v>
      </c>
      <c r="Q24" s="21"/>
    </row>
    <row r="25" spans="1:17" s="20" customFormat="1" ht="12">
      <c r="A25" s="77"/>
      <c r="B25" s="74"/>
      <c r="C25" s="74"/>
      <c r="D25" s="80"/>
      <c r="E25" s="63"/>
      <c r="F25" s="74"/>
      <c r="G25" s="22"/>
      <c r="H25" s="22"/>
      <c r="I25" s="69"/>
      <c r="J25" s="26" t="s">
        <v>22</v>
      </c>
      <c r="K25" s="24">
        <f t="shared" si="0"/>
        <v>0</v>
      </c>
      <c r="L25" s="25">
        <f t="shared" si="0"/>
        <v>0</v>
      </c>
      <c r="M25" s="25">
        <f t="shared" si="0"/>
        <v>0</v>
      </c>
      <c r="N25" s="25">
        <f t="shared" si="0"/>
        <v>0</v>
      </c>
      <c r="O25" s="25">
        <f t="shared" si="0"/>
        <v>0</v>
      </c>
      <c r="Q25" s="21"/>
    </row>
    <row r="26" spans="1:17" s="20" customFormat="1" ht="11.25" customHeight="1">
      <c r="A26" s="64" t="s">
        <v>24</v>
      </c>
      <c r="B26" s="72">
        <v>600</v>
      </c>
      <c r="C26" s="72">
        <v>60016</v>
      </c>
      <c r="D26" s="93" t="s">
        <v>25</v>
      </c>
      <c r="E26" s="61" t="s">
        <v>17</v>
      </c>
      <c r="F26" s="72" t="s">
        <v>26</v>
      </c>
      <c r="G26" s="22">
        <v>0</v>
      </c>
      <c r="H26" s="22">
        <v>0</v>
      </c>
      <c r="I26" s="67">
        <f>SUM(K26:O26)+G26+H26</f>
        <v>800000</v>
      </c>
      <c r="J26" s="23" t="s">
        <v>19</v>
      </c>
      <c r="K26" s="25">
        <f>K27+K28+K29</f>
        <v>0</v>
      </c>
      <c r="L26" s="25">
        <f>L27+L28+L29</f>
        <v>20000</v>
      </c>
      <c r="M26" s="25">
        <f>M27+M28+M29</f>
        <v>780000</v>
      </c>
      <c r="N26" s="25">
        <f>N27+N28+N29</f>
        <v>0</v>
      </c>
      <c r="O26" s="25">
        <f>O27+O28+O29</f>
        <v>0</v>
      </c>
      <c r="Q26" s="21"/>
    </row>
    <row r="27" spans="1:17" s="20" customFormat="1" ht="12">
      <c r="A27" s="70"/>
      <c r="B27" s="73"/>
      <c r="C27" s="73"/>
      <c r="D27" s="94"/>
      <c r="E27" s="62"/>
      <c r="F27" s="73"/>
      <c r="G27" s="22"/>
      <c r="H27" s="22"/>
      <c r="I27" s="68"/>
      <c r="J27" s="26" t="s">
        <v>20</v>
      </c>
      <c r="K27" s="25"/>
      <c r="L27" s="25">
        <v>20000</v>
      </c>
      <c r="M27" s="25">
        <v>780000</v>
      </c>
      <c r="N27" s="25"/>
      <c r="O27" s="25"/>
      <c r="Q27" s="21"/>
    </row>
    <row r="28" spans="1:17" s="20" customFormat="1" ht="22.5">
      <c r="A28" s="70"/>
      <c r="B28" s="73"/>
      <c r="C28" s="73"/>
      <c r="D28" s="94"/>
      <c r="E28" s="62"/>
      <c r="F28" s="73"/>
      <c r="G28" s="22"/>
      <c r="H28" s="22"/>
      <c r="I28" s="68"/>
      <c r="J28" s="27" t="s">
        <v>21</v>
      </c>
      <c r="K28" s="25"/>
      <c r="L28" s="25"/>
      <c r="M28" s="25"/>
      <c r="N28" s="25"/>
      <c r="O28" s="25"/>
      <c r="Q28" s="21"/>
    </row>
    <row r="29" spans="1:17" s="20" customFormat="1" ht="12">
      <c r="A29" s="71"/>
      <c r="B29" s="74"/>
      <c r="C29" s="74"/>
      <c r="D29" s="95"/>
      <c r="E29" s="63"/>
      <c r="F29" s="74"/>
      <c r="G29" s="22"/>
      <c r="H29" s="22"/>
      <c r="I29" s="69"/>
      <c r="J29" s="26" t="s">
        <v>22</v>
      </c>
      <c r="K29" s="25"/>
      <c r="L29" s="25"/>
      <c r="M29" s="25"/>
      <c r="N29" s="25"/>
      <c r="O29" s="25"/>
      <c r="Q29" s="21"/>
    </row>
    <row r="30" spans="1:17" s="20" customFormat="1" ht="11.25" customHeight="1">
      <c r="A30" s="64" t="s">
        <v>27</v>
      </c>
      <c r="B30" s="72">
        <v>600</v>
      </c>
      <c r="C30" s="72">
        <v>60016</v>
      </c>
      <c r="D30" s="93" t="s">
        <v>28</v>
      </c>
      <c r="E30" s="61" t="s">
        <v>17</v>
      </c>
      <c r="F30" s="72" t="s">
        <v>29</v>
      </c>
      <c r="G30" s="22">
        <v>0</v>
      </c>
      <c r="H30" s="22">
        <v>20000</v>
      </c>
      <c r="I30" s="67">
        <f>SUM(K30:O30)+G30+H30</f>
        <v>1120000</v>
      </c>
      <c r="J30" s="23" t="s">
        <v>19</v>
      </c>
      <c r="K30" s="24">
        <f>K31+K32+K33</f>
        <v>500000</v>
      </c>
      <c r="L30" s="25">
        <f>L31+L32+L33</f>
        <v>0</v>
      </c>
      <c r="M30" s="25">
        <f>M31+M32+M33</f>
        <v>0</v>
      </c>
      <c r="N30" s="25">
        <f>N31+N32+N33</f>
        <v>0</v>
      </c>
      <c r="O30" s="25">
        <f>O31+O32+O33</f>
        <v>600000</v>
      </c>
      <c r="Q30" s="21"/>
    </row>
    <row r="31" spans="1:17" s="20" customFormat="1" ht="12">
      <c r="A31" s="70"/>
      <c r="B31" s="73"/>
      <c r="C31" s="73"/>
      <c r="D31" s="94"/>
      <c r="E31" s="62"/>
      <c r="F31" s="73"/>
      <c r="G31" s="22"/>
      <c r="H31" s="22"/>
      <c r="I31" s="68"/>
      <c r="J31" s="26" t="s">
        <v>20</v>
      </c>
      <c r="K31" s="24">
        <v>500000</v>
      </c>
      <c r="L31" s="25"/>
      <c r="M31" s="25"/>
      <c r="N31" s="25"/>
      <c r="O31" s="25">
        <v>600000</v>
      </c>
      <c r="Q31" s="21"/>
    </row>
    <row r="32" spans="1:17" s="20" customFormat="1" ht="22.5">
      <c r="A32" s="70"/>
      <c r="B32" s="73"/>
      <c r="C32" s="73"/>
      <c r="D32" s="94"/>
      <c r="E32" s="62"/>
      <c r="F32" s="73"/>
      <c r="G32" s="22"/>
      <c r="H32" s="22"/>
      <c r="I32" s="68"/>
      <c r="J32" s="27" t="s">
        <v>21</v>
      </c>
      <c r="K32" s="24"/>
      <c r="L32" s="25"/>
      <c r="M32" s="25"/>
      <c r="N32" s="25"/>
      <c r="O32" s="25"/>
      <c r="Q32" s="21"/>
    </row>
    <row r="33" spans="1:17" s="20" customFormat="1" ht="12">
      <c r="A33" s="71"/>
      <c r="B33" s="74"/>
      <c r="C33" s="74"/>
      <c r="D33" s="95"/>
      <c r="E33" s="63"/>
      <c r="F33" s="74"/>
      <c r="G33" s="22"/>
      <c r="H33" s="22"/>
      <c r="I33" s="69"/>
      <c r="J33" s="26" t="s">
        <v>22</v>
      </c>
      <c r="K33" s="24"/>
      <c r="L33" s="25"/>
      <c r="M33" s="25"/>
      <c r="N33" s="25"/>
      <c r="O33" s="25"/>
      <c r="Q33" s="21"/>
    </row>
    <row r="34" spans="1:15" ht="12.75" customHeight="1">
      <c r="A34" s="64" t="s">
        <v>30</v>
      </c>
      <c r="B34" s="72">
        <v>600</v>
      </c>
      <c r="C34" s="72">
        <v>60016</v>
      </c>
      <c r="D34" s="93" t="s">
        <v>31</v>
      </c>
      <c r="E34" s="61" t="s">
        <v>17</v>
      </c>
      <c r="F34" s="64" t="s">
        <v>26</v>
      </c>
      <c r="G34" s="28">
        <v>0</v>
      </c>
      <c r="H34" s="28">
        <v>0</v>
      </c>
      <c r="I34" s="67">
        <f>SUM(K34:O34)+G34+H34</f>
        <v>400000</v>
      </c>
      <c r="J34" s="23" t="s">
        <v>19</v>
      </c>
      <c r="K34" s="25">
        <f>K35+K36+K37</f>
        <v>0</v>
      </c>
      <c r="L34" s="25">
        <f>L35+L36+L37</f>
        <v>0</v>
      </c>
      <c r="M34" s="25">
        <f>M35+M36+M37</f>
        <v>400000</v>
      </c>
      <c r="N34" s="25">
        <f>N35+N36+N37</f>
        <v>0</v>
      </c>
      <c r="O34" s="25">
        <f>O35+O36+O37</f>
        <v>0</v>
      </c>
    </row>
    <row r="35" spans="1:15" ht="12.75">
      <c r="A35" s="70"/>
      <c r="B35" s="73"/>
      <c r="C35" s="73"/>
      <c r="D35" s="94"/>
      <c r="E35" s="62"/>
      <c r="F35" s="70"/>
      <c r="G35" s="28"/>
      <c r="H35" s="28"/>
      <c r="I35" s="68"/>
      <c r="J35" s="26" t="s">
        <v>20</v>
      </c>
      <c r="K35" s="25"/>
      <c r="L35" s="25"/>
      <c r="M35" s="25">
        <v>400000</v>
      </c>
      <c r="N35" s="25"/>
      <c r="O35" s="25"/>
    </row>
    <row r="36" spans="1:15" ht="26.25" customHeight="1">
      <c r="A36" s="70"/>
      <c r="B36" s="73"/>
      <c r="C36" s="73"/>
      <c r="D36" s="94"/>
      <c r="E36" s="62"/>
      <c r="F36" s="70"/>
      <c r="G36" s="28"/>
      <c r="H36" s="28"/>
      <c r="I36" s="68"/>
      <c r="J36" s="27" t="s">
        <v>21</v>
      </c>
      <c r="K36" s="25"/>
      <c r="L36" s="25"/>
      <c r="M36" s="25"/>
      <c r="N36" s="25"/>
      <c r="O36" s="25"/>
    </row>
    <row r="37" spans="1:15" ht="12.75">
      <c r="A37" s="71"/>
      <c r="B37" s="74"/>
      <c r="C37" s="74"/>
      <c r="D37" s="95"/>
      <c r="E37" s="63"/>
      <c r="F37" s="71"/>
      <c r="G37" s="28"/>
      <c r="H37" s="28"/>
      <c r="I37" s="69"/>
      <c r="J37" s="26" t="s">
        <v>22</v>
      </c>
      <c r="K37" s="25"/>
      <c r="L37" s="25"/>
      <c r="M37" s="25"/>
      <c r="N37" s="25"/>
      <c r="O37" s="25"/>
    </row>
    <row r="38" spans="1:15" ht="12.75" customHeight="1">
      <c r="A38" s="64" t="s">
        <v>32</v>
      </c>
      <c r="B38" s="72">
        <v>600</v>
      </c>
      <c r="C38" s="72">
        <v>60016</v>
      </c>
      <c r="D38" s="93" t="s">
        <v>33</v>
      </c>
      <c r="E38" s="61" t="s">
        <v>17</v>
      </c>
      <c r="F38" s="64" t="s">
        <v>34</v>
      </c>
      <c r="G38" s="28">
        <v>0</v>
      </c>
      <c r="H38" s="28">
        <v>0</v>
      </c>
      <c r="I38" s="67">
        <f>SUM(K38:O38)+G38+H38</f>
        <v>350000</v>
      </c>
      <c r="J38" s="23" t="s">
        <v>19</v>
      </c>
      <c r="K38" s="25">
        <f>K39+K40+K41</f>
        <v>0</v>
      </c>
      <c r="L38" s="25">
        <f>L39+L40+L41</f>
        <v>350000</v>
      </c>
      <c r="M38" s="25">
        <f>M39+M40+M41</f>
        <v>0</v>
      </c>
      <c r="N38" s="25">
        <f>N39+N40+N41</f>
        <v>0</v>
      </c>
      <c r="O38" s="25">
        <f>O39+O40+O41</f>
        <v>0</v>
      </c>
    </row>
    <row r="39" spans="1:15" ht="12.75">
      <c r="A39" s="70"/>
      <c r="B39" s="73"/>
      <c r="C39" s="73"/>
      <c r="D39" s="94"/>
      <c r="E39" s="62"/>
      <c r="F39" s="70"/>
      <c r="G39" s="28"/>
      <c r="H39" s="28"/>
      <c r="I39" s="68"/>
      <c r="J39" s="26" t="s">
        <v>20</v>
      </c>
      <c r="K39" s="25"/>
      <c r="L39" s="25">
        <v>350000</v>
      </c>
      <c r="M39" s="25"/>
      <c r="N39" s="25"/>
      <c r="O39" s="25"/>
    </row>
    <row r="40" spans="1:15" ht="24.75" customHeight="1">
      <c r="A40" s="70"/>
      <c r="B40" s="73"/>
      <c r="C40" s="73"/>
      <c r="D40" s="94"/>
      <c r="E40" s="62"/>
      <c r="F40" s="70"/>
      <c r="G40" s="28"/>
      <c r="H40" s="28"/>
      <c r="I40" s="68"/>
      <c r="J40" s="27" t="s">
        <v>21</v>
      </c>
      <c r="K40" s="25"/>
      <c r="L40" s="25"/>
      <c r="M40" s="25"/>
      <c r="N40" s="25"/>
      <c r="O40" s="25"/>
    </row>
    <row r="41" spans="1:15" ht="12.75">
      <c r="A41" s="71"/>
      <c r="B41" s="74"/>
      <c r="C41" s="74"/>
      <c r="D41" s="95"/>
      <c r="E41" s="63"/>
      <c r="F41" s="71"/>
      <c r="G41" s="28"/>
      <c r="H41" s="28"/>
      <c r="I41" s="69"/>
      <c r="J41" s="26" t="s">
        <v>22</v>
      </c>
      <c r="K41" s="25"/>
      <c r="L41" s="25"/>
      <c r="M41" s="25"/>
      <c r="N41" s="25"/>
      <c r="O41" s="25"/>
    </row>
    <row r="42" spans="1:15" ht="12.75" customHeight="1">
      <c r="A42" s="64" t="s">
        <v>35</v>
      </c>
      <c r="B42" s="72">
        <v>600</v>
      </c>
      <c r="C42" s="72">
        <v>60016</v>
      </c>
      <c r="D42" s="93" t="s">
        <v>36</v>
      </c>
      <c r="E42" s="61" t="s">
        <v>17</v>
      </c>
      <c r="F42" s="64" t="s">
        <v>37</v>
      </c>
      <c r="G42" s="28">
        <v>0</v>
      </c>
      <c r="H42" s="28">
        <v>0</v>
      </c>
      <c r="I42" s="67">
        <f>SUM(K42:O42)+G42+H42</f>
        <v>300000</v>
      </c>
      <c r="J42" s="23" t="s">
        <v>19</v>
      </c>
      <c r="K42" s="24">
        <f>K43+K44+K45</f>
        <v>300000</v>
      </c>
      <c r="L42" s="25">
        <f>L43+L44+L45</f>
        <v>0</v>
      </c>
      <c r="M42" s="25">
        <f>M43+M44+M45</f>
        <v>0</v>
      </c>
      <c r="N42" s="25">
        <f>N43+N44+N45</f>
        <v>0</v>
      </c>
      <c r="O42" s="25">
        <f>O43+O44+O45</f>
        <v>0</v>
      </c>
    </row>
    <row r="43" spans="1:15" ht="12.75">
      <c r="A43" s="70"/>
      <c r="B43" s="73"/>
      <c r="C43" s="73"/>
      <c r="D43" s="94"/>
      <c r="E43" s="62"/>
      <c r="F43" s="70"/>
      <c r="G43" s="28"/>
      <c r="H43" s="28"/>
      <c r="I43" s="68"/>
      <c r="J43" s="26" t="s">
        <v>20</v>
      </c>
      <c r="K43" s="24">
        <v>300000</v>
      </c>
      <c r="L43" s="25"/>
      <c r="M43" s="25"/>
      <c r="N43" s="25"/>
      <c r="O43" s="25"/>
    </row>
    <row r="44" spans="1:15" ht="24.75" customHeight="1">
      <c r="A44" s="70"/>
      <c r="B44" s="73"/>
      <c r="C44" s="73"/>
      <c r="D44" s="94"/>
      <c r="E44" s="62"/>
      <c r="F44" s="70"/>
      <c r="G44" s="28"/>
      <c r="H44" s="28"/>
      <c r="I44" s="68"/>
      <c r="J44" s="27" t="s">
        <v>21</v>
      </c>
      <c r="K44" s="24"/>
      <c r="L44" s="25"/>
      <c r="M44" s="25"/>
      <c r="N44" s="25"/>
      <c r="O44" s="25"/>
    </row>
    <row r="45" spans="1:15" ht="12.75">
      <c r="A45" s="71"/>
      <c r="B45" s="74"/>
      <c r="C45" s="74"/>
      <c r="D45" s="95"/>
      <c r="E45" s="63"/>
      <c r="F45" s="71"/>
      <c r="G45" s="28"/>
      <c r="H45" s="28"/>
      <c r="I45" s="69"/>
      <c r="J45" s="26" t="s">
        <v>22</v>
      </c>
      <c r="K45" s="24"/>
      <c r="L45" s="25"/>
      <c r="M45" s="25"/>
      <c r="N45" s="25"/>
      <c r="O45" s="25"/>
    </row>
    <row r="46" spans="1:15" ht="12.75" customHeight="1">
      <c r="A46" s="64" t="s">
        <v>38</v>
      </c>
      <c r="B46" s="72">
        <v>600</v>
      </c>
      <c r="C46" s="72">
        <v>60016</v>
      </c>
      <c r="D46" s="93" t="s">
        <v>39</v>
      </c>
      <c r="E46" s="61" t="s">
        <v>17</v>
      </c>
      <c r="F46" s="64" t="s">
        <v>34</v>
      </c>
      <c r="G46" s="28">
        <v>0</v>
      </c>
      <c r="H46" s="28">
        <v>0</v>
      </c>
      <c r="I46" s="67">
        <f>SUM(K46:O46)+G46+H46</f>
        <v>400000</v>
      </c>
      <c r="J46" s="23" t="s">
        <v>19</v>
      </c>
      <c r="K46" s="24">
        <f>K47+K48+K49</f>
        <v>20000</v>
      </c>
      <c r="L46" s="25">
        <f>L47+L48+L49</f>
        <v>380000</v>
      </c>
      <c r="M46" s="25">
        <f>M47+M48+M49</f>
        <v>0</v>
      </c>
      <c r="N46" s="25">
        <f>N47+N48+N49</f>
        <v>0</v>
      </c>
      <c r="O46" s="25">
        <f>O47+O48+O49</f>
        <v>0</v>
      </c>
    </row>
    <row r="47" spans="1:15" ht="12.75">
      <c r="A47" s="70"/>
      <c r="B47" s="73"/>
      <c r="C47" s="73"/>
      <c r="D47" s="94"/>
      <c r="E47" s="62"/>
      <c r="F47" s="70"/>
      <c r="G47" s="28"/>
      <c r="H47" s="28"/>
      <c r="I47" s="68"/>
      <c r="J47" s="26" t="s">
        <v>20</v>
      </c>
      <c r="K47" s="24">
        <v>20000</v>
      </c>
      <c r="L47" s="25">
        <v>380000</v>
      </c>
      <c r="M47" s="25"/>
      <c r="N47" s="25"/>
      <c r="O47" s="25"/>
    </row>
    <row r="48" spans="1:15" ht="27" customHeight="1">
      <c r="A48" s="70"/>
      <c r="B48" s="73"/>
      <c r="C48" s="73"/>
      <c r="D48" s="94"/>
      <c r="E48" s="62"/>
      <c r="F48" s="70"/>
      <c r="G48" s="28"/>
      <c r="H48" s="28"/>
      <c r="I48" s="68"/>
      <c r="J48" s="27" t="s">
        <v>21</v>
      </c>
      <c r="K48" s="24"/>
      <c r="L48" s="25"/>
      <c r="M48" s="25"/>
      <c r="N48" s="25"/>
      <c r="O48" s="25"/>
    </row>
    <row r="49" spans="1:15" ht="12.75">
      <c r="A49" s="71"/>
      <c r="B49" s="74"/>
      <c r="C49" s="74"/>
      <c r="D49" s="95"/>
      <c r="E49" s="63"/>
      <c r="F49" s="71"/>
      <c r="G49" s="28"/>
      <c r="H49" s="28"/>
      <c r="I49" s="69"/>
      <c r="J49" s="26" t="s">
        <v>22</v>
      </c>
      <c r="K49" s="24"/>
      <c r="L49" s="25"/>
      <c r="M49" s="25"/>
      <c r="N49" s="25"/>
      <c r="O49" s="25"/>
    </row>
    <row r="50" spans="1:15" ht="12.75" customHeight="1">
      <c r="A50" s="64" t="s">
        <v>40</v>
      </c>
      <c r="B50" s="72">
        <v>600</v>
      </c>
      <c r="C50" s="72">
        <v>60016</v>
      </c>
      <c r="D50" s="93" t="s">
        <v>41</v>
      </c>
      <c r="E50" s="61" t="s">
        <v>17</v>
      </c>
      <c r="F50" s="64" t="s">
        <v>42</v>
      </c>
      <c r="G50" s="28">
        <v>0</v>
      </c>
      <c r="H50" s="28">
        <v>0</v>
      </c>
      <c r="I50" s="67">
        <f>SUM(K50:O50)+G50+H50</f>
        <v>300000</v>
      </c>
      <c r="J50" s="23" t="s">
        <v>19</v>
      </c>
      <c r="K50" s="25">
        <f>K51+K52+K53</f>
        <v>0</v>
      </c>
      <c r="L50" s="25">
        <f>L51+L52+L53</f>
        <v>0</v>
      </c>
      <c r="M50" s="25">
        <f>M51+M52+M53</f>
        <v>0</v>
      </c>
      <c r="N50" s="25">
        <f>N51+N52+N53</f>
        <v>300000</v>
      </c>
      <c r="O50" s="25">
        <f>O51+O52+O53</f>
        <v>0</v>
      </c>
    </row>
    <row r="51" spans="1:15" ht="12.75">
      <c r="A51" s="70"/>
      <c r="B51" s="73"/>
      <c r="C51" s="73"/>
      <c r="D51" s="94"/>
      <c r="E51" s="62"/>
      <c r="F51" s="70"/>
      <c r="G51" s="28"/>
      <c r="H51" s="28"/>
      <c r="I51" s="68"/>
      <c r="J51" s="26" t="s">
        <v>20</v>
      </c>
      <c r="K51" s="25"/>
      <c r="L51" s="25"/>
      <c r="M51" s="25"/>
      <c r="N51" s="25">
        <v>300000</v>
      </c>
      <c r="O51" s="25"/>
    </row>
    <row r="52" spans="1:15" ht="24" customHeight="1">
      <c r="A52" s="70"/>
      <c r="B52" s="73"/>
      <c r="C52" s="73"/>
      <c r="D52" s="94"/>
      <c r="E52" s="62"/>
      <c r="F52" s="70"/>
      <c r="G52" s="28"/>
      <c r="H52" s="28"/>
      <c r="I52" s="68"/>
      <c r="J52" s="27" t="s">
        <v>21</v>
      </c>
      <c r="K52" s="25"/>
      <c r="L52" s="25"/>
      <c r="M52" s="25"/>
      <c r="N52" s="25"/>
      <c r="O52" s="25"/>
    </row>
    <row r="53" spans="1:15" ht="12.75">
      <c r="A53" s="71"/>
      <c r="B53" s="74"/>
      <c r="C53" s="74"/>
      <c r="D53" s="95"/>
      <c r="E53" s="63"/>
      <c r="F53" s="71"/>
      <c r="G53" s="28"/>
      <c r="H53" s="28"/>
      <c r="I53" s="69"/>
      <c r="J53" s="26" t="s">
        <v>22</v>
      </c>
      <c r="K53" s="25"/>
      <c r="L53" s="25"/>
      <c r="M53" s="25"/>
      <c r="N53" s="25"/>
      <c r="O53" s="25"/>
    </row>
    <row r="54" spans="1:15" ht="12.75" customHeight="1">
      <c r="A54" s="64" t="s">
        <v>43</v>
      </c>
      <c r="B54" s="72">
        <v>600</v>
      </c>
      <c r="C54" s="72">
        <v>60016</v>
      </c>
      <c r="D54" s="93" t="s">
        <v>44</v>
      </c>
      <c r="E54" s="61" t="s">
        <v>17</v>
      </c>
      <c r="F54" s="64" t="s">
        <v>34</v>
      </c>
      <c r="G54" s="28">
        <v>0</v>
      </c>
      <c r="H54" s="28">
        <v>0</v>
      </c>
      <c r="I54" s="67">
        <f>SUM(K54:O54)+G54+H54</f>
        <v>220000</v>
      </c>
      <c r="J54" s="23" t="s">
        <v>19</v>
      </c>
      <c r="K54" s="24">
        <f>SUM(K55:K57)</f>
        <v>15000</v>
      </c>
      <c r="L54" s="25">
        <f>SUM(L55:L57)</f>
        <v>205000</v>
      </c>
      <c r="M54" s="25">
        <f>SUM(M55:M57)</f>
        <v>0</v>
      </c>
      <c r="N54" s="25">
        <f>SUM(N55:N57)</f>
        <v>0</v>
      </c>
      <c r="O54" s="25">
        <f>SUM(O55:O57)</f>
        <v>0</v>
      </c>
    </row>
    <row r="55" spans="1:15" ht="12.75">
      <c r="A55" s="70"/>
      <c r="B55" s="73"/>
      <c r="C55" s="73"/>
      <c r="D55" s="94"/>
      <c r="E55" s="62"/>
      <c r="F55" s="70"/>
      <c r="G55" s="28"/>
      <c r="H55" s="28"/>
      <c r="I55" s="68"/>
      <c r="J55" s="26" t="s">
        <v>20</v>
      </c>
      <c r="K55" s="24">
        <v>15000</v>
      </c>
      <c r="L55" s="25">
        <v>205000</v>
      </c>
      <c r="M55" s="25"/>
      <c r="N55" s="25"/>
      <c r="O55" s="25"/>
    </row>
    <row r="56" spans="1:15" ht="25.5" customHeight="1">
      <c r="A56" s="70"/>
      <c r="B56" s="73"/>
      <c r="C56" s="73"/>
      <c r="D56" s="94"/>
      <c r="E56" s="62"/>
      <c r="F56" s="70"/>
      <c r="G56" s="28"/>
      <c r="H56" s="28"/>
      <c r="I56" s="68"/>
      <c r="J56" s="27" t="s">
        <v>21</v>
      </c>
      <c r="K56" s="24"/>
      <c r="L56" s="25"/>
      <c r="M56" s="25"/>
      <c r="N56" s="25"/>
      <c r="O56" s="25"/>
    </row>
    <row r="57" spans="1:15" ht="12.75">
      <c r="A57" s="71"/>
      <c r="B57" s="74"/>
      <c r="C57" s="74"/>
      <c r="D57" s="95"/>
      <c r="E57" s="63"/>
      <c r="F57" s="71"/>
      <c r="G57" s="28"/>
      <c r="H57" s="28"/>
      <c r="I57" s="69"/>
      <c r="J57" s="26" t="s">
        <v>22</v>
      </c>
      <c r="K57" s="24"/>
      <c r="L57" s="25"/>
      <c r="M57" s="25"/>
      <c r="N57" s="25"/>
      <c r="O57" s="25"/>
    </row>
    <row r="58" spans="1:15" ht="12.75" customHeight="1">
      <c r="A58" s="75">
        <v>3</v>
      </c>
      <c r="B58" s="72">
        <v>600</v>
      </c>
      <c r="C58" s="72">
        <v>60016</v>
      </c>
      <c r="D58" s="87" t="s">
        <v>45</v>
      </c>
      <c r="E58" s="61" t="s">
        <v>17</v>
      </c>
      <c r="F58" s="64"/>
      <c r="G58" s="28">
        <f>SUM(G62,G66)</f>
        <v>8503</v>
      </c>
      <c r="H58" s="28">
        <f>SUM(H62,H66)</f>
        <v>0</v>
      </c>
      <c r="I58" s="67">
        <f>SUM(K58:O58)+G58+H58</f>
        <v>1408503</v>
      </c>
      <c r="J58" s="23" t="s">
        <v>19</v>
      </c>
      <c r="K58" s="25">
        <f>K59+K60+K61</f>
        <v>0</v>
      </c>
      <c r="L58" s="25">
        <f>L59+L60+L61</f>
        <v>500000</v>
      </c>
      <c r="M58" s="25">
        <f>M59+M60+M61</f>
        <v>550000</v>
      </c>
      <c r="N58" s="25">
        <f>N59+N60+N61</f>
        <v>350000</v>
      </c>
      <c r="O58" s="25">
        <f>O59+O60+O61</f>
        <v>0</v>
      </c>
    </row>
    <row r="59" spans="1:15" ht="12.75">
      <c r="A59" s="76"/>
      <c r="B59" s="73"/>
      <c r="C59" s="73"/>
      <c r="D59" s="88"/>
      <c r="E59" s="62"/>
      <c r="F59" s="70"/>
      <c r="G59" s="28"/>
      <c r="H59" s="28"/>
      <c r="I59" s="68"/>
      <c r="J59" s="26" t="s">
        <v>20</v>
      </c>
      <c r="K59" s="25">
        <f aca="true" t="shared" si="1" ref="K59:O61">K63+K67</f>
        <v>0</v>
      </c>
      <c r="L59" s="25">
        <f t="shared" si="1"/>
        <v>500000</v>
      </c>
      <c r="M59" s="25">
        <f t="shared" si="1"/>
        <v>550000</v>
      </c>
      <c r="N59" s="25">
        <f t="shared" si="1"/>
        <v>350000</v>
      </c>
      <c r="O59" s="25">
        <f t="shared" si="1"/>
        <v>0</v>
      </c>
    </row>
    <row r="60" spans="1:15" ht="25.5" customHeight="1">
      <c r="A60" s="76"/>
      <c r="B60" s="73"/>
      <c r="C60" s="73"/>
      <c r="D60" s="88"/>
      <c r="E60" s="62"/>
      <c r="F60" s="70"/>
      <c r="G60" s="28"/>
      <c r="H60" s="28"/>
      <c r="I60" s="68"/>
      <c r="J60" s="27" t="s">
        <v>21</v>
      </c>
      <c r="K60" s="25">
        <f t="shared" si="1"/>
        <v>0</v>
      </c>
      <c r="L60" s="25">
        <f t="shared" si="1"/>
        <v>0</v>
      </c>
      <c r="M60" s="25">
        <f t="shared" si="1"/>
        <v>0</v>
      </c>
      <c r="N60" s="25">
        <f t="shared" si="1"/>
        <v>0</v>
      </c>
      <c r="O60" s="25">
        <f t="shared" si="1"/>
        <v>0</v>
      </c>
    </row>
    <row r="61" spans="1:15" ht="12.75">
      <c r="A61" s="77"/>
      <c r="B61" s="74"/>
      <c r="C61" s="74"/>
      <c r="D61" s="89"/>
      <c r="E61" s="63"/>
      <c r="F61" s="71"/>
      <c r="G61" s="28"/>
      <c r="H61" s="28"/>
      <c r="I61" s="69"/>
      <c r="J61" s="26" t="s">
        <v>22</v>
      </c>
      <c r="K61" s="25">
        <f t="shared" si="1"/>
        <v>0</v>
      </c>
      <c r="L61" s="25">
        <f t="shared" si="1"/>
        <v>0</v>
      </c>
      <c r="M61" s="25">
        <f t="shared" si="1"/>
        <v>0</v>
      </c>
      <c r="N61" s="25">
        <f t="shared" si="1"/>
        <v>0</v>
      </c>
      <c r="O61" s="25">
        <f t="shared" si="1"/>
        <v>0</v>
      </c>
    </row>
    <row r="62" spans="1:15" ht="12.75" customHeight="1">
      <c r="A62" s="75" t="s">
        <v>46</v>
      </c>
      <c r="B62" s="72">
        <v>600</v>
      </c>
      <c r="C62" s="72">
        <v>60016</v>
      </c>
      <c r="D62" s="99" t="s">
        <v>47</v>
      </c>
      <c r="E62" s="61" t="s">
        <v>17</v>
      </c>
      <c r="F62" s="64" t="s">
        <v>26</v>
      </c>
      <c r="G62" s="28">
        <v>8503</v>
      </c>
      <c r="H62" s="28">
        <v>0</v>
      </c>
      <c r="I62" s="67">
        <f>SUM(K62:O62)+G62+H62</f>
        <v>1058503</v>
      </c>
      <c r="J62" s="23" t="s">
        <v>19</v>
      </c>
      <c r="K62" s="25">
        <f>K63+K64+K65</f>
        <v>0</v>
      </c>
      <c r="L62" s="25">
        <f>L63+L64+L65</f>
        <v>500000</v>
      </c>
      <c r="M62" s="25">
        <f>M63+M64+M65</f>
        <v>550000</v>
      </c>
      <c r="N62" s="25">
        <f>N63+N64+N65</f>
        <v>0</v>
      </c>
      <c r="O62" s="25">
        <f>O63+O64+O65</f>
        <v>0</v>
      </c>
    </row>
    <row r="63" spans="1:15" ht="12.75">
      <c r="A63" s="76"/>
      <c r="B63" s="73"/>
      <c r="C63" s="73"/>
      <c r="D63" s="100"/>
      <c r="E63" s="62"/>
      <c r="F63" s="70"/>
      <c r="G63" s="28"/>
      <c r="H63" s="28"/>
      <c r="I63" s="68"/>
      <c r="J63" s="26" t="s">
        <v>20</v>
      </c>
      <c r="K63" s="25"/>
      <c r="L63" s="25">
        <v>500000</v>
      </c>
      <c r="M63" s="25">
        <v>550000</v>
      </c>
      <c r="N63" s="25"/>
      <c r="O63" s="25"/>
    </row>
    <row r="64" spans="1:15" ht="22.5" customHeight="1">
      <c r="A64" s="76"/>
      <c r="B64" s="73"/>
      <c r="C64" s="73"/>
      <c r="D64" s="100"/>
      <c r="E64" s="62"/>
      <c r="F64" s="70"/>
      <c r="G64" s="28"/>
      <c r="H64" s="28"/>
      <c r="I64" s="68"/>
      <c r="J64" s="27" t="s">
        <v>21</v>
      </c>
      <c r="K64" s="25"/>
      <c r="L64" s="25"/>
      <c r="M64" s="25"/>
      <c r="N64" s="25"/>
      <c r="O64" s="25"/>
    </row>
    <row r="65" spans="1:15" ht="12.75">
      <c r="A65" s="77"/>
      <c r="B65" s="74"/>
      <c r="C65" s="74"/>
      <c r="D65" s="101"/>
      <c r="E65" s="63"/>
      <c r="F65" s="71"/>
      <c r="G65" s="28"/>
      <c r="H65" s="28"/>
      <c r="I65" s="69"/>
      <c r="J65" s="26" t="s">
        <v>22</v>
      </c>
      <c r="K65" s="25"/>
      <c r="L65" s="25"/>
      <c r="M65" s="25"/>
      <c r="N65" s="25"/>
      <c r="O65" s="25"/>
    </row>
    <row r="66" spans="1:15" ht="12.75" customHeight="1">
      <c r="A66" s="75" t="s">
        <v>48</v>
      </c>
      <c r="B66" s="72">
        <v>600</v>
      </c>
      <c r="C66" s="72">
        <v>60016</v>
      </c>
      <c r="D66" s="99" t="s">
        <v>49</v>
      </c>
      <c r="E66" s="61" t="s">
        <v>17</v>
      </c>
      <c r="F66" s="64" t="s">
        <v>42</v>
      </c>
      <c r="G66" s="28">
        <v>0</v>
      </c>
      <c r="H66" s="28">
        <v>0</v>
      </c>
      <c r="I66" s="67">
        <f>SUM(K66:O66)+G66+H66</f>
        <v>350000</v>
      </c>
      <c r="J66" s="23" t="s">
        <v>19</v>
      </c>
      <c r="K66" s="25">
        <f>K67+K68+K69</f>
        <v>0</v>
      </c>
      <c r="L66" s="25">
        <f>L67+L68+L69</f>
        <v>0</v>
      </c>
      <c r="M66" s="25">
        <f>M67+M68+M69</f>
        <v>0</v>
      </c>
      <c r="N66" s="25">
        <f>N67+N68+N69</f>
        <v>350000</v>
      </c>
      <c r="O66" s="25">
        <f>O67+O68+O69</f>
        <v>0</v>
      </c>
    </row>
    <row r="67" spans="1:15" ht="12.75">
      <c r="A67" s="76"/>
      <c r="B67" s="73"/>
      <c r="C67" s="73"/>
      <c r="D67" s="100"/>
      <c r="E67" s="62"/>
      <c r="F67" s="70"/>
      <c r="G67" s="28"/>
      <c r="H67" s="28"/>
      <c r="I67" s="68"/>
      <c r="J67" s="26" t="s">
        <v>20</v>
      </c>
      <c r="K67" s="25"/>
      <c r="L67" s="25"/>
      <c r="M67" s="25"/>
      <c r="N67" s="25">
        <v>350000</v>
      </c>
      <c r="O67" s="25"/>
    </row>
    <row r="68" spans="1:15" ht="24" customHeight="1">
      <c r="A68" s="76"/>
      <c r="B68" s="73"/>
      <c r="C68" s="73"/>
      <c r="D68" s="100"/>
      <c r="E68" s="62"/>
      <c r="F68" s="70"/>
      <c r="G68" s="28"/>
      <c r="H68" s="28"/>
      <c r="I68" s="68"/>
      <c r="J68" s="27" t="s">
        <v>21</v>
      </c>
      <c r="K68" s="25"/>
      <c r="L68" s="25"/>
      <c r="M68" s="25"/>
      <c r="N68" s="25"/>
      <c r="O68" s="25"/>
    </row>
    <row r="69" spans="1:15" ht="12.75">
      <c r="A69" s="77"/>
      <c r="B69" s="74"/>
      <c r="C69" s="74"/>
      <c r="D69" s="101"/>
      <c r="E69" s="63"/>
      <c r="F69" s="71"/>
      <c r="G69" s="28"/>
      <c r="H69" s="28"/>
      <c r="I69" s="69"/>
      <c r="J69" s="26" t="s">
        <v>22</v>
      </c>
      <c r="K69" s="25"/>
      <c r="L69" s="25"/>
      <c r="M69" s="25"/>
      <c r="N69" s="25"/>
      <c r="O69" s="25"/>
    </row>
    <row r="70" spans="1:15" ht="12.75" customHeight="1">
      <c r="A70" s="75">
        <v>4</v>
      </c>
      <c r="B70" s="72">
        <v>600</v>
      </c>
      <c r="C70" s="72">
        <v>60016</v>
      </c>
      <c r="D70" s="87" t="s">
        <v>50</v>
      </c>
      <c r="E70" s="61" t="s">
        <v>17</v>
      </c>
      <c r="F70" s="64" t="s">
        <v>51</v>
      </c>
      <c r="G70" s="28">
        <v>45213</v>
      </c>
      <c r="H70" s="28">
        <v>100000</v>
      </c>
      <c r="I70" s="67">
        <f>SUM(K70:O70)+G70+H70</f>
        <v>2345213</v>
      </c>
      <c r="J70" s="23" t="s">
        <v>19</v>
      </c>
      <c r="K70" s="24">
        <f>K71+K72+K73</f>
        <v>1300000</v>
      </c>
      <c r="L70" s="25">
        <f>L71+L72+L73</f>
        <v>0</v>
      </c>
      <c r="M70" s="25">
        <f>M71+M72+M73</f>
        <v>300000</v>
      </c>
      <c r="N70" s="25">
        <f>N71+N72+N73</f>
        <v>300000</v>
      </c>
      <c r="O70" s="25">
        <f>O71+O72+O73</f>
        <v>300000</v>
      </c>
    </row>
    <row r="71" spans="1:15" ht="12.75">
      <c r="A71" s="76"/>
      <c r="B71" s="73"/>
      <c r="C71" s="73"/>
      <c r="D71" s="88"/>
      <c r="E71" s="62"/>
      <c r="F71" s="70"/>
      <c r="G71" s="28"/>
      <c r="H71" s="28"/>
      <c r="I71" s="68"/>
      <c r="J71" s="26" t="s">
        <v>20</v>
      </c>
      <c r="K71" s="24">
        <f>1300000</f>
        <v>1300000</v>
      </c>
      <c r="L71" s="25"/>
      <c r="M71" s="25">
        <v>300000</v>
      </c>
      <c r="N71" s="25">
        <v>300000</v>
      </c>
      <c r="O71" s="25">
        <v>300000</v>
      </c>
    </row>
    <row r="72" spans="1:15" ht="23.25" customHeight="1">
      <c r="A72" s="76"/>
      <c r="B72" s="73"/>
      <c r="C72" s="73"/>
      <c r="D72" s="88"/>
      <c r="E72" s="62"/>
      <c r="F72" s="70"/>
      <c r="G72" s="28"/>
      <c r="H72" s="28"/>
      <c r="I72" s="68"/>
      <c r="J72" s="27" t="s">
        <v>21</v>
      </c>
      <c r="K72" s="24"/>
      <c r="L72" s="25"/>
      <c r="M72" s="25"/>
      <c r="N72" s="25"/>
      <c r="O72" s="25"/>
    </row>
    <row r="73" spans="1:15" ht="12.75">
      <c r="A73" s="77"/>
      <c r="B73" s="74"/>
      <c r="C73" s="74"/>
      <c r="D73" s="89"/>
      <c r="E73" s="63"/>
      <c r="F73" s="71"/>
      <c r="G73" s="28"/>
      <c r="H73" s="28"/>
      <c r="I73" s="69"/>
      <c r="J73" s="26" t="s">
        <v>22</v>
      </c>
      <c r="K73" s="24"/>
      <c r="L73" s="25"/>
      <c r="M73" s="25"/>
      <c r="N73" s="25"/>
      <c r="O73" s="25"/>
    </row>
    <row r="74" spans="1:15" ht="12.75" customHeight="1">
      <c r="A74" s="75">
        <v>5</v>
      </c>
      <c r="B74" s="72">
        <v>600</v>
      </c>
      <c r="C74" s="72">
        <v>60016</v>
      </c>
      <c r="D74" s="87" t="s">
        <v>52</v>
      </c>
      <c r="E74" s="61" t="s">
        <v>17</v>
      </c>
      <c r="F74" s="72" t="s">
        <v>42</v>
      </c>
      <c r="G74" s="22">
        <v>0</v>
      </c>
      <c r="H74" s="22">
        <v>34770</v>
      </c>
      <c r="I74" s="67">
        <f>SUM(K74:O74)+G74+H74</f>
        <v>14973770</v>
      </c>
      <c r="J74" s="23" t="s">
        <v>19</v>
      </c>
      <c r="K74" s="25">
        <f>K75+K76+K77</f>
        <v>0</v>
      </c>
      <c r="L74" s="25">
        <f>L75+L76+L77</f>
        <v>439000</v>
      </c>
      <c r="M74" s="25">
        <f>M75+M76+M77</f>
        <v>5000000</v>
      </c>
      <c r="N74" s="25">
        <f>N75+N76+N77</f>
        <v>9500000</v>
      </c>
      <c r="O74" s="25">
        <f>O75+O76+O77</f>
        <v>0</v>
      </c>
    </row>
    <row r="75" spans="1:15" ht="12.75">
      <c r="A75" s="76"/>
      <c r="B75" s="73"/>
      <c r="C75" s="73"/>
      <c r="D75" s="88"/>
      <c r="E75" s="62"/>
      <c r="F75" s="73"/>
      <c r="G75" s="22"/>
      <c r="H75" s="22"/>
      <c r="I75" s="68"/>
      <c r="J75" s="26" t="s">
        <v>20</v>
      </c>
      <c r="K75" s="25"/>
      <c r="L75" s="25">
        <v>65850</v>
      </c>
      <c r="M75" s="25">
        <v>750000</v>
      </c>
      <c r="N75" s="25">
        <v>1425000</v>
      </c>
      <c r="O75" s="25"/>
    </row>
    <row r="76" spans="1:15" ht="22.5">
      <c r="A76" s="76"/>
      <c r="B76" s="73"/>
      <c r="C76" s="73"/>
      <c r="D76" s="88"/>
      <c r="E76" s="62"/>
      <c r="F76" s="73"/>
      <c r="G76" s="22"/>
      <c r="H76" s="22"/>
      <c r="I76" s="68"/>
      <c r="J76" s="27" t="s">
        <v>21</v>
      </c>
      <c r="K76" s="25"/>
      <c r="L76" s="25"/>
      <c r="M76" s="25"/>
      <c r="N76" s="25"/>
      <c r="O76" s="25"/>
    </row>
    <row r="77" spans="1:15" ht="12.75">
      <c r="A77" s="77"/>
      <c r="B77" s="74"/>
      <c r="C77" s="74"/>
      <c r="D77" s="89"/>
      <c r="E77" s="63"/>
      <c r="F77" s="74"/>
      <c r="G77" s="22"/>
      <c r="H77" s="22"/>
      <c r="I77" s="69"/>
      <c r="J77" s="26" t="s">
        <v>22</v>
      </c>
      <c r="K77" s="25"/>
      <c r="L77" s="25">
        <v>373150</v>
      </c>
      <c r="M77" s="25">
        <v>4250000</v>
      </c>
      <c r="N77" s="25">
        <v>8075000</v>
      </c>
      <c r="O77" s="25"/>
    </row>
    <row r="78" spans="1:15" ht="12.75" customHeight="1">
      <c r="A78" s="75">
        <v>6</v>
      </c>
      <c r="B78" s="72">
        <v>600</v>
      </c>
      <c r="C78" s="72">
        <v>60016</v>
      </c>
      <c r="D78" s="78" t="s">
        <v>53</v>
      </c>
      <c r="E78" s="61" t="s">
        <v>17</v>
      </c>
      <c r="F78" s="72" t="s">
        <v>54</v>
      </c>
      <c r="G78" s="22">
        <v>26090</v>
      </c>
      <c r="H78" s="22">
        <v>15000</v>
      </c>
      <c r="I78" s="67">
        <f>SUM(K78:O78)+G78+H78</f>
        <v>2141090</v>
      </c>
      <c r="J78" s="23" t="s">
        <v>19</v>
      </c>
      <c r="K78" s="24">
        <f>K79+K80+K81</f>
        <v>1300000</v>
      </c>
      <c r="L78" s="25">
        <f>L79+L80+L81</f>
        <v>800000</v>
      </c>
      <c r="M78" s="25">
        <f>M79+M80+M81</f>
        <v>0</v>
      </c>
      <c r="N78" s="25">
        <f>N79+N80+N81</f>
        <v>0</v>
      </c>
      <c r="O78" s="25">
        <f>O79+O80+O81</f>
        <v>0</v>
      </c>
    </row>
    <row r="79" spans="1:15" ht="12.75">
      <c r="A79" s="76"/>
      <c r="B79" s="73"/>
      <c r="C79" s="73"/>
      <c r="D79" s="79"/>
      <c r="E79" s="62"/>
      <c r="F79" s="73"/>
      <c r="G79" s="22"/>
      <c r="H79" s="22"/>
      <c r="I79" s="68"/>
      <c r="J79" s="26" t="s">
        <v>20</v>
      </c>
      <c r="K79" s="24">
        <v>650000</v>
      </c>
      <c r="L79" s="25">
        <v>400000</v>
      </c>
      <c r="M79" s="25"/>
      <c r="N79" s="25"/>
      <c r="O79" s="25"/>
    </row>
    <row r="80" spans="1:15" ht="22.5">
      <c r="A80" s="76"/>
      <c r="B80" s="73"/>
      <c r="C80" s="73"/>
      <c r="D80" s="79"/>
      <c r="E80" s="62"/>
      <c r="F80" s="73"/>
      <c r="G80" s="22"/>
      <c r="H80" s="22"/>
      <c r="I80" s="68"/>
      <c r="J80" s="27" t="s">
        <v>21</v>
      </c>
      <c r="K80" s="24"/>
      <c r="L80" s="25"/>
      <c r="M80" s="25"/>
      <c r="N80" s="25"/>
      <c r="O80" s="25"/>
    </row>
    <row r="81" spans="1:15" ht="12.75">
      <c r="A81" s="77"/>
      <c r="B81" s="74"/>
      <c r="C81" s="74"/>
      <c r="D81" s="80"/>
      <c r="E81" s="63"/>
      <c r="F81" s="74"/>
      <c r="G81" s="22"/>
      <c r="H81" s="22"/>
      <c r="I81" s="69"/>
      <c r="J81" s="26" t="s">
        <v>22</v>
      </c>
      <c r="K81" s="24">
        <v>650000</v>
      </c>
      <c r="L81" s="25">
        <v>400000</v>
      </c>
      <c r="M81" s="25"/>
      <c r="N81" s="25"/>
      <c r="O81" s="25"/>
    </row>
    <row r="82" spans="1:15" ht="12.75" customHeight="1">
      <c r="A82" s="75">
        <v>7</v>
      </c>
      <c r="B82" s="72">
        <v>600</v>
      </c>
      <c r="C82" s="72">
        <v>60016</v>
      </c>
      <c r="D82" s="78" t="s">
        <v>55</v>
      </c>
      <c r="E82" s="61" t="s">
        <v>17</v>
      </c>
      <c r="F82" s="72" t="s">
        <v>34</v>
      </c>
      <c r="G82" s="22">
        <v>15718</v>
      </c>
      <c r="H82" s="22">
        <v>8180</v>
      </c>
      <c r="I82" s="67">
        <f>SUM(K82:O82)+G82+H82</f>
        <v>623898</v>
      </c>
      <c r="J82" s="23" t="s">
        <v>19</v>
      </c>
      <c r="K82" s="25">
        <f>K83+K84+K85</f>
        <v>0</v>
      </c>
      <c r="L82" s="25">
        <f>L83+L84+L85</f>
        <v>600000</v>
      </c>
      <c r="M82" s="25">
        <f>M83+M84+M85</f>
        <v>0</v>
      </c>
      <c r="N82" s="25">
        <f>N83+N84+N85</f>
        <v>0</v>
      </c>
      <c r="O82" s="25">
        <f>O83+O84+O85</f>
        <v>0</v>
      </c>
    </row>
    <row r="83" spans="1:15" ht="12.75">
      <c r="A83" s="76"/>
      <c r="B83" s="73"/>
      <c r="C83" s="73"/>
      <c r="D83" s="79"/>
      <c r="E83" s="62"/>
      <c r="F83" s="73"/>
      <c r="G83" s="22"/>
      <c r="H83" s="22"/>
      <c r="I83" s="68"/>
      <c r="J83" s="26" t="s">
        <v>20</v>
      </c>
      <c r="K83" s="25"/>
      <c r="L83" s="25">
        <v>300000</v>
      </c>
      <c r="M83" s="25"/>
      <c r="N83" s="25"/>
      <c r="O83" s="25"/>
    </row>
    <row r="84" spans="1:15" ht="22.5">
      <c r="A84" s="76"/>
      <c r="B84" s="73"/>
      <c r="C84" s="73"/>
      <c r="D84" s="79"/>
      <c r="E84" s="62"/>
      <c r="F84" s="73"/>
      <c r="G84" s="22"/>
      <c r="H84" s="22"/>
      <c r="I84" s="68"/>
      <c r="J84" s="27" t="s">
        <v>21</v>
      </c>
      <c r="K84" s="25"/>
      <c r="L84" s="25"/>
      <c r="M84" s="25"/>
      <c r="N84" s="25"/>
      <c r="O84" s="25"/>
    </row>
    <row r="85" spans="1:15" ht="12.75">
      <c r="A85" s="77"/>
      <c r="B85" s="74"/>
      <c r="C85" s="74"/>
      <c r="D85" s="80"/>
      <c r="E85" s="63"/>
      <c r="F85" s="74"/>
      <c r="G85" s="22"/>
      <c r="H85" s="22"/>
      <c r="I85" s="69"/>
      <c r="J85" s="26" t="s">
        <v>22</v>
      </c>
      <c r="K85" s="25"/>
      <c r="L85" s="25">
        <v>300000</v>
      </c>
      <c r="M85" s="25"/>
      <c r="N85" s="25"/>
      <c r="O85" s="25"/>
    </row>
    <row r="86" spans="1:15" ht="12.75" customHeight="1">
      <c r="A86" s="75">
        <v>8</v>
      </c>
      <c r="B86" s="72">
        <v>600</v>
      </c>
      <c r="C86" s="72">
        <v>60016</v>
      </c>
      <c r="D86" s="87" t="s">
        <v>56</v>
      </c>
      <c r="E86" s="61" t="s">
        <v>17</v>
      </c>
      <c r="F86" s="72" t="s">
        <v>57</v>
      </c>
      <c r="G86" s="22">
        <v>0</v>
      </c>
      <c r="H86" s="22">
        <v>0</v>
      </c>
      <c r="I86" s="67">
        <f>SUM(K86:O86)+G86+H86</f>
        <v>1500000</v>
      </c>
      <c r="J86" s="23" t="s">
        <v>19</v>
      </c>
      <c r="K86" s="25">
        <f>SUM(K87:K89)</f>
        <v>0</v>
      </c>
      <c r="L86" s="25">
        <f>SUM(L87:L89)</f>
        <v>0</v>
      </c>
      <c r="M86" s="25">
        <f>SUM(M87:M89)</f>
        <v>0</v>
      </c>
      <c r="N86" s="25">
        <f>SUM(N87:N89)</f>
        <v>1000000</v>
      </c>
      <c r="O86" s="25">
        <f>SUM(O87:O89)</f>
        <v>500000</v>
      </c>
    </row>
    <row r="87" spans="1:15" ht="12.75">
      <c r="A87" s="76"/>
      <c r="B87" s="73"/>
      <c r="C87" s="73"/>
      <c r="D87" s="88"/>
      <c r="E87" s="62"/>
      <c r="F87" s="73"/>
      <c r="G87" s="22"/>
      <c r="H87" s="22"/>
      <c r="I87" s="68"/>
      <c r="J87" s="26" t="s">
        <v>20</v>
      </c>
      <c r="K87" s="25"/>
      <c r="L87" s="25"/>
      <c r="M87" s="25"/>
      <c r="N87" s="25">
        <v>1000000</v>
      </c>
      <c r="O87" s="25">
        <v>500000</v>
      </c>
    </row>
    <row r="88" spans="1:15" ht="22.5">
      <c r="A88" s="76"/>
      <c r="B88" s="73"/>
      <c r="C88" s="73"/>
      <c r="D88" s="88"/>
      <c r="E88" s="62"/>
      <c r="F88" s="73"/>
      <c r="G88" s="22"/>
      <c r="H88" s="22"/>
      <c r="I88" s="68"/>
      <c r="J88" s="27" t="s">
        <v>21</v>
      </c>
      <c r="K88" s="25"/>
      <c r="L88" s="25"/>
      <c r="M88" s="25"/>
      <c r="N88" s="25"/>
      <c r="O88" s="25"/>
    </row>
    <row r="89" spans="1:15" ht="13.5" customHeight="1">
      <c r="A89" s="77"/>
      <c r="B89" s="74"/>
      <c r="C89" s="74"/>
      <c r="D89" s="89"/>
      <c r="E89" s="63"/>
      <c r="F89" s="74"/>
      <c r="G89" s="22"/>
      <c r="H89" s="22"/>
      <c r="I89" s="69"/>
      <c r="J89" s="26" t="s">
        <v>22</v>
      </c>
      <c r="K89" s="25"/>
      <c r="L89" s="25"/>
      <c r="M89" s="25"/>
      <c r="N89" s="25"/>
      <c r="O89" s="25"/>
    </row>
    <row r="90" spans="1:15" ht="12.75" customHeight="1">
      <c r="A90" s="75">
        <v>9</v>
      </c>
      <c r="B90" s="72">
        <v>600</v>
      </c>
      <c r="C90" s="72">
        <v>60016</v>
      </c>
      <c r="D90" s="87" t="s">
        <v>58</v>
      </c>
      <c r="E90" s="61" t="s">
        <v>17</v>
      </c>
      <c r="F90" s="72" t="s">
        <v>34</v>
      </c>
      <c r="G90" s="22">
        <v>15334</v>
      </c>
      <c r="H90" s="22">
        <v>0</v>
      </c>
      <c r="I90" s="67">
        <f>SUM(K90:O90)+G90+H90</f>
        <v>2615334</v>
      </c>
      <c r="J90" s="23" t="s">
        <v>19</v>
      </c>
      <c r="K90" s="24">
        <f>SUM(K91:K93)</f>
        <v>100000</v>
      </c>
      <c r="L90" s="25">
        <f>SUM(L91:L93)</f>
        <v>2500000</v>
      </c>
      <c r="M90" s="25">
        <f>SUM(M91:M93)</f>
        <v>0</v>
      </c>
      <c r="N90" s="25">
        <f>SUM(N91:N93)</f>
        <v>0</v>
      </c>
      <c r="O90" s="25">
        <f>SUM(O91:O93)</f>
        <v>0</v>
      </c>
    </row>
    <row r="91" spans="1:15" ht="12.75">
      <c r="A91" s="76"/>
      <c r="B91" s="73"/>
      <c r="C91" s="73"/>
      <c r="D91" s="88"/>
      <c r="E91" s="62"/>
      <c r="F91" s="73"/>
      <c r="G91" s="22"/>
      <c r="H91" s="22"/>
      <c r="I91" s="68"/>
      <c r="J91" s="26" t="s">
        <v>20</v>
      </c>
      <c r="K91" s="24">
        <v>100000</v>
      </c>
      <c r="L91" s="25">
        <v>1250000</v>
      </c>
      <c r="M91" s="25"/>
      <c r="N91" s="25"/>
      <c r="O91" s="25"/>
    </row>
    <row r="92" spans="1:15" ht="37.5" customHeight="1">
      <c r="A92" s="76"/>
      <c r="B92" s="73"/>
      <c r="C92" s="73"/>
      <c r="D92" s="88"/>
      <c r="E92" s="62"/>
      <c r="F92" s="73"/>
      <c r="G92" s="22"/>
      <c r="H92" s="22"/>
      <c r="I92" s="68"/>
      <c r="J92" s="27" t="s">
        <v>21</v>
      </c>
      <c r="K92" s="24"/>
      <c r="L92" s="25"/>
      <c r="M92" s="25"/>
      <c r="N92" s="25"/>
      <c r="O92" s="25"/>
    </row>
    <row r="93" spans="1:15" ht="12.75">
      <c r="A93" s="77"/>
      <c r="B93" s="74"/>
      <c r="C93" s="74"/>
      <c r="D93" s="89"/>
      <c r="E93" s="63"/>
      <c r="F93" s="74"/>
      <c r="G93" s="22"/>
      <c r="H93" s="22"/>
      <c r="I93" s="69"/>
      <c r="J93" s="26" t="s">
        <v>22</v>
      </c>
      <c r="K93" s="24"/>
      <c r="L93" s="25">
        <v>1250000</v>
      </c>
      <c r="M93" s="25"/>
      <c r="N93" s="25"/>
      <c r="O93" s="25"/>
    </row>
    <row r="94" spans="1:15" ht="12.75" customHeight="1">
      <c r="A94" s="75">
        <v>10</v>
      </c>
      <c r="B94" s="72">
        <v>600</v>
      </c>
      <c r="C94" s="72">
        <v>60016</v>
      </c>
      <c r="D94" s="87" t="s">
        <v>59</v>
      </c>
      <c r="E94" s="61" t="s">
        <v>17</v>
      </c>
      <c r="F94" s="72" t="s">
        <v>54</v>
      </c>
      <c r="G94" s="22">
        <v>29140</v>
      </c>
      <c r="H94" s="22">
        <v>306710</v>
      </c>
      <c r="I94" s="67">
        <f>SUM(K94:O94)+G94+H94</f>
        <v>1635850</v>
      </c>
      <c r="J94" s="23" t="s">
        <v>19</v>
      </c>
      <c r="K94" s="24">
        <f>SUM(K95:K97)</f>
        <v>1000000</v>
      </c>
      <c r="L94" s="25">
        <f>SUM(L95:L97)</f>
        <v>300000</v>
      </c>
      <c r="M94" s="25">
        <f>SUM(M95:M97)</f>
        <v>0</v>
      </c>
      <c r="N94" s="25">
        <f>SUM(N95:N97)</f>
        <v>0</v>
      </c>
      <c r="O94" s="25">
        <f>SUM(O95:O97)</f>
        <v>0</v>
      </c>
    </row>
    <row r="95" spans="1:15" ht="12.75">
      <c r="A95" s="76"/>
      <c r="B95" s="73"/>
      <c r="C95" s="73"/>
      <c r="D95" s="88"/>
      <c r="E95" s="62"/>
      <c r="F95" s="73"/>
      <c r="G95" s="22"/>
      <c r="H95" s="22"/>
      <c r="I95" s="68"/>
      <c r="J95" s="26" t="s">
        <v>20</v>
      </c>
      <c r="K95" s="24">
        <v>500000</v>
      </c>
      <c r="L95" s="25">
        <v>150000</v>
      </c>
      <c r="M95" s="25"/>
      <c r="N95" s="25"/>
      <c r="O95" s="25"/>
    </row>
    <row r="96" spans="1:15" ht="37.5" customHeight="1">
      <c r="A96" s="76"/>
      <c r="B96" s="73"/>
      <c r="C96" s="73"/>
      <c r="D96" s="88"/>
      <c r="E96" s="62"/>
      <c r="F96" s="73"/>
      <c r="G96" s="22"/>
      <c r="H96" s="22"/>
      <c r="I96" s="68"/>
      <c r="J96" s="27" t="s">
        <v>21</v>
      </c>
      <c r="K96" s="24"/>
      <c r="L96" s="25"/>
      <c r="M96" s="25"/>
      <c r="N96" s="25"/>
      <c r="O96" s="25"/>
    </row>
    <row r="97" spans="1:15" ht="12.75">
      <c r="A97" s="77"/>
      <c r="B97" s="74"/>
      <c r="C97" s="74"/>
      <c r="D97" s="89"/>
      <c r="E97" s="63"/>
      <c r="F97" s="74"/>
      <c r="G97" s="22"/>
      <c r="H97" s="22"/>
      <c r="I97" s="69"/>
      <c r="J97" s="26" t="s">
        <v>22</v>
      </c>
      <c r="K97" s="24">
        <v>500000</v>
      </c>
      <c r="L97" s="25">
        <v>150000</v>
      </c>
      <c r="M97" s="25"/>
      <c r="N97" s="25"/>
      <c r="O97" s="25"/>
    </row>
    <row r="98" spans="1:15" ht="12.75" customHeight="1">
      <c r="A98" s="75">
        <v>11</v>
      </c>
      <c r="B98" s="72">
        <v>600</v>
      </c>
      <c r="C98" s="72">
        <v>60016</v>
      </c>
      <c r="D98" s="78" t="s">
        <v>60</v>
      </c>
      <c r="E98" s="61" t="s">
        <v>17</v>
      </c>
      <c r="F98" s="72"/>
      <c r="G98" s="22">
        <f>G102</f>
        <v>0</v>
      </c>
      <c r="H98" s="22">
        <f>H102</f>
        <v>11000</v>
      </c>
      <c r="I98" s="67">
        <f>SUM(K98:O98)+G98+H98</f>
        <v>261000</v>
      </c>
      <c r="J98" s="23" t="s">
        <v>19</v>
      </c>
      <c r="K98" s="25">
        <f>SUM(K99:K101)</f>
        <v>0</v>
      </c>
      <c r="L98" s="25">
        <f>SUM(L99:L101)</f>
        <v>250000</v>
      </c>
      <c r="M98" s="25">
        <f>SUM(M99:M101)</f>
        <v>0</v>
      </c>
      <c r="N98" s="25">
        <f>SUM(N99:N101)</f>
        <v>0</v>
      </c>
      <c r="O98" s="25">
        <f>SUM(O99:O101)</f>
        <v>0</v>
      </c>
    </row>
    <row r="99" spans="1:15" ht="22.5" customHeight="1">
      <c r="A99" s="76"/>
      <c r="B99" s="73"/>
      <c r="C99" s="73"/>
      <c r="D99" s="79"/>
      <c r="E99" s="62"/>
      <c r="F99" s="73"/>
      <c r="G99" s="22"/>
      <c r="H99" s="22"/>
      <c r="I99" s="68"/>
      <c r="J99" s="26" t="s">
        <v>20</v>
      </c>
      <c r="K99" s="25">
        <f aca="true" t="shared" si="2" ref="K99:O101">K103</f>
        <v>0</v>
      </c>
      <c r="L99" s="25">
        <f t="shared" si="2"/>
        <v>250000</v>
      </c>
      <c r="M99" s="25">
        <f t="shared" si="2"/>
        <v>0</v>
      </c>
      <c r="N99" s="25">
        <f t="shared" si="2"/>
        <v>0</v>
      </c>
      <c r="O99" s="25">
        <f t="shared" si="2"/>
        <v>0</v>
      </c>
    </row>
    <row r="100" spans="1:15" ht="22.5">
      <c r="A100" s="76"/>
      <c r="B100" s="73"/>
      <c r="C100" s="73"/>
      <c r="D100" s="79"/>
      <c r="E100" s="62"/>
      <c r="F100" s="73"/>
      <c r="G100" s="22"/>
      <c r="H100" s="22"/>
      <c r="I100" s="68"/>
      <c r="J100" s="27" t="s">
        <v>21</v>
      </c>
      <c r="K100" s="25">
        <f t="shared" si="2"/>
        <v>0</v>
      </c>
      <c r="L100" s="25">
        <f t="shared" si="2"/>
        <v>0</v>
      </c>
      <c r="M100" s="25">
        <f t="shared" si="2"/>
        <v>0</v>
      </c>
      <c r="N100" s="25">
        <f t="shared" si="2"/>
        <v>0</v>
      </c>
      <c r="O100" s="25">
        <f t="shared" si="2"/>
        <v>0</v>
      </c>
    </row>
    <row r="101" spans="1:15" ht="12.75">
      <c r="A101" s="77"/>
      <c r="B101" s="74"/>
      <c r="C101" s="74"/>
      <c r="D101" s="80"/>
      <c r="E101" s="63"/>
      <c r="F101" s="74"/>
      <c r="G101" s="22"/>
      <c r="H101" s="22"/>
      <c r="I101" s="69"/>
      <c r="J101" s="26" t="s">
        <v>22</v>
      </c>
      <c r="K101" s="25">
        <f t="shared" si="2"/>
        <v>0</v>
      </c>
      <c r="L101" s="25">
        <f t="shared" si="2"/>
        <v>0</v>
      </c>
      <c r="M101" s="25">
        <f t="shared" si="2"/>
        <v>0</v>
      </c>
      <c r="N101" s="25">
        <f t="shared" si="2"/>
        <v>0</v>
      </c>
      <c r="O101" s="25">
        <f t="shared" si="2"/>
        <v>0</v>
      </c>
    </row>
    <row r="102" spans="1:15" ht="12.75" customHeight="1">
      <c r="A102" s="75" t="s">
        <v>61</v>
      </c>
      <c r="B102" s="72">
        <v>600</v>
      </c>
      <c r="C102" s="72">
        <v>60016</v>
      </c>
      <c r="D102" s="93" t="s">
        <v>62</v>
      </c>
      <c r="E102" s="61" t="s">
        <v>17</v>
      </c>
      <c r="F102" s="72" t="s">
        <v>63</v>
      </c>
      <c r="G102" s="22">
        <v>0</v>
      </c>
      <c r="H102" s="22">
        <v>11000</v>
      </c>
      <c r="I102" s="67">
        <f>SUM(K102:O102)+G102+H102</f>
        <v>261000</v>
      </c>
      <c r="J102" s="23" t="s">
        <v>19</v>
      </c>
      <c r="K102" s="25">
        <f>SUM(K103:K105)</f>
        <v>0</v>
      </c>
      <c r="L102" s="25">
        <f>SUM(L103:L105)</f>
        <v>250000</v>
      </c>
      <c r="M102" s="25">
        <f>SUM(M103:M105)</f>
        <v>0</v>
      </c>
      <c r="N102" s="25">
        <f>SUM(N103:N105)</f>
        <v>0</v>
      </c>
      <c r="O102" s="25">
        <f>SUM(O103:O105)</f>
        <v>0</v>
      </c>
    </row>
    <row r="103" spans="1:15" ht="12.75">
      <c r="A103" s="76"/>
      <c r="B103" s="73"/>
      <c r="C103" s="73"/>
      <c r="D103" s="94"/>
      <c r="E103" s="62"/>
      <c r="F103" s="73"/>
      <c r="G103" s="22"/>
      <c r="H103" s="22"/>
      <c r="I103" s="68"/>
      <c r="J103" s="26" t="s">
        <v>20</v>
      </c>
      <c r="K103" s="25"/>
      <c r="L103" s="25">
        <v>250000</v>
      </c>
      <c r="M103" s="25"/>
      <c r="N103" s="25"/>
      <c r="O103" s="25"/>
    </row>
    <row r="104" spans="1:15" ht="22.5">
      <c r="A104" s="76"/>
      <c r="B104" s="73"/>
      <c r="C104" s="73"/>
      <c r="D104" s="94"/>
      <c r="E104" s="62"/>
      <c r="F104" s="73"/>
      <c r="G104" s="22"/>
      <c r="H104" s="22"/>
      <c r="I104" s="68"/>
      <c r="J104" s="27" t="s">
        <v>21</v>
      </c>
      <c r="K104" s="25"/>
      <c r="L104" s="25"/>
      <c r="M104" s="25"/>
      <c r="N104" s="25"/>
      <c r="O104" s="25"/>
    </row>
    <row r="105" spans="1:15" ht="12.75">
      <c r="A105" s="77"/>
      <c r="B105" s="74"/>
      <c r="C105" s="74"/>
      <c r="D105" s="95"/>
      <c r="E105" s="63"/>
      <c r="F105" s="74"/>
      <c r="G105" s="22"/>
      <c r="H105" s="22"/>
      <c r="I105" s="69"/>
      <c r="J105" s="26" t="s">
        <v>22</v>
      </c>
      <c r="K105" s="25"/>
      <c r="L105" s="25"/>
      <c r="M105" s="25"/>
      <c r="N105" s="25"/>
      <c r="O105" s="25"/>
    </row>
    <row r="106" spans="1:15" ht="12.75" customHeight="1">
      <c r="A106" s="75">
        <v>12</v>
      </c>
      <c r="B106" s="72">
        <v>600</v>
      </c>
      <c r="C106" s="72">
        <v>60016</v>
      </c>
      <c r="D106" s="78" t="s">
        <v>64</v>
      </c>
      <c r="E106" s="61" t="s">
        <v>17</v>
      </c>
      <c r="F106" s="72"/>
      <c r="G106" s="22">
        <f>SUM(G110,G114,G118,G122,G126)</f>
        <v>14660</v>
      </c>
      <c r="H106" s="22">
        <f>SUM(H110,H114,H118,H122,H126)</f>
        <v>0</v>
      </c>
      <c r="I106" s="67">
        <f>SUM(K106:O106)+G106+H106</f>
        <v>1564660</v>
      </c>
      <c r="J106" s="23" t="s">
        <v>19</v>
      </c>
      <c r="K106" s="25">
        <f>SUM(K107:K109)</f>
        <v>0</v>
      </c>
      <c r="L106" s="25">
        <f>SUM(L107:L109)</f>
        <v>300000</v>
      </c>
      <c r="M106" s="25">
        <f>SUM(M107:M109)</f>
        <v>610000</v>
      </c>
      <c r="N106" s="25">
        <f>SUM(N107:N109)</f>
        <v>640000</v>
      </c>
      <c r="O106" s="25">
        <f>SUM(O107:O109)</f>
        <v>0</v>
      </c>
    </row>
    <row r="107" spans="1:15" ht="12.75">
      <c r="A107" s="76"/>
      <c r="B107" s="73"/>
      <c r="C107" s="73"/>
      <c r="D107" s="79"/>
      <c r="E107" s="62"/>
      <c r="F107" s="73"/>
      <c r="G107" s="22"/>
      <c r="H107" s="22"/>
      <c r="I107" s="68"/>
      <c r="J107" s="26" t="s">
        <v>20</v>
      </c>
      <c r="K107" s="25">
        <f aca="true" t="shared" si="3" ref="K107:O109">K111+K115+K119+K123+K127</f>
        <v>0</v>
      </c>
      <c r="L107" s="25">
        <f t="shared" si="3"/>
        <v>300000</v>
      </c>
      <c r="M107" s="25">
        <f t="shared" si="3"/>
        <v>610000</v>
      </c>
      <c r="N107" s="25">
        <f t="shared" si="3"/>
        <v>640000</v>
      </c>
      <c r="O107" s="25">
        <f t="shared" si="3"/>
        <v>0</v>
      </c>
    </row>
    <row r="108" spans="1:15" ht="22.5">
      <c r="A108" s="76"/>
      <c r="B108" s="73"/>
      <c r="C108" s="73"/>
      <c r="D108" s="79"/>
      <c r="E108" s="62"/>
      <c r="F108" s="73"/>
      <c r="G108" s="22"/>
      <c r="H108" s="22"/>
      <c r="I108" s="68"/>
      <c r="J108" s="27" t="s">
        <v>21</v>
      </c>
      <c r="K108" s="25">
        <f t="shared" si="3"/>
        <v>0</v>
      </c>
      <c r="L108" s="25">
        <f t="shared" si="3"/>
        <v>0</v>
      </c>
      <c r="M108" s="25">
        <f t="shared" si="3"/>
        <v>0</v>
      </c>
      <c r="N108" s="25">
        <f t="shared" si="3"/>
        <v>0</v>
      </c>
      <c r="O108" s="25">
        <f t="shared" si="3"/>
        <v>0</v>
      </c>
    </row>
    <row r="109" spans="1:15" ht="12.75">
      <c r="A109" s="77"/>
      <c r="B109" s="74"/>
      <c r="C109" s="74"/>
      <c r="D109" s="80"/>
      <c r="E109" s="63"/>
      <c r="F109" s="74"/>
      <c r="G109" s="22"/>
      <c r="H109" s="22"/>
      <c r="I109" s="69"/>
      <c r="J109" s="26" t="s">
        <v>22</v>
      </c>
      <c r="K109" s="25">
        <f t="shared" si="3"/>
        <v>0</v>
      </c>
      <c r="L109" s="25">
        <f t="shared" si="3"/>
        <v>0</v>
      </c>
      <c r="M109" s="25">
        <f t="shared" si="3"/>
        <v>0</v>
      </c>
      <c r="N109" s="25">
        <f t="shared" si="3"/>
        <v>0</v>
      </c>
      <c r="O109" s="25">
        <f t="shared" si="3"/>
        <v>0</v>
      </c>
    </row>
    <row r="110" spans="1:15" ht="12.75" customHeight="1">
      <c r="A110" s="75" t="s">
        <v>65</v>
      </c>
      <c r="B110" s="72">
        <v>600</v>
      </c>
      <c r="C110" s="72">
        <v>60016</v>
      </c>
      <c r="D110" s="93" t="s">
        <v>66</v>
      </c>
      <c r="E110" s="61" t="s">
        <v>17</v>
      </c>
      <c r="F110" s="72">
        <v>2010</v>
      </c>
      <c r="G110" s="22">
        <v>2932</v>
      </c>
      <c r="H110" s="22">
        <v>0</v>
      </c>
      <c r="I110" s="67">
        <f>SUM(K110:O110)+G110+H110</f>
        <v>302932</v>
      </c>
      <c r="J110" s="23" t="s">
        <v>19</v>
      </c>
      <c r="K110" s="25">
        <f>SUM(K111:K113)</f>
        <v>0</v>
      </c>
      <c r="L110" s="25">
        <f>SUM(L111:L113)</f>
        <v>300000</v>
      </c>
      <c r="M110" s="25">
        <f>SUM(M111:M113)</f>
        <v>0</v>
      </c>
      <c r="N110" s="25">
        <f>SUM(N111:N113)</f>
        <v>0</v>
      </c>
      <c r="O110" s="25">
        <f>SUM(O111:O113)</f>
        <v>0</v>
      </c>
    </row>
    <row r="111" spans="1:15" ht="12.75">
      <c r="A111" s="76"/>
      <c r="B111" s="73"/>
      <c r="C111" s="73"/>
      <c r="D111" s="94"/>
      <c r="E111" s="62"/>
      <c r="F111" s="73"/>
      <c r="G111" s="22"/>
      <c r="H111" s="22"/>
      <c r="I111" s="68"/>
      <c r="J111" s="26" t="s">
        <v>20</v>
      </c>
      <c r="K111" s="25"/>
      <c r="L111" s="25">
        <v>300000</v>
      </c>
      <c r="M111" s="25"/>
      <c r="N111" s="25"/>
      <c r="O111" s="25"/>
    </row>
    <row r="112" spans="1:15" ht="22.5">
      <c r="A112" s="76"/>
      <c r="B112" s="73"/>
      <c r="C112" s="73"/>
      <c r="D112" s="94"/>
      <c r="E112" s="62"/>
      <c r="F112" s="73"/>
      <c r="G112" s="22"/>
      <c r="H112" s="22"/>
      <c r="I112" s="68"/>
      <c r="J112" s="27" t="s">
        <v>21</v>
      </c>
      <c r="K112" s="25"/>
      <c r="L112" s="25"/>
      <c r="M112" s="25"/>
      <c r="N112" s="25"/>
      <c r="O112" s="25"/>
    </row>
    <row r="113" spans="1:15" ht="12.75">
      <c r="A113" s="77"/>
      <c r="B113" s="74"/>
      <c r="C113" s="74"/>
      <c r="D113" s="95"/>
      <c r="E113" s="63"/>
      <c r="F113" s="74"/>
      <c r="G113" s="22"/>
      <c r="H113" s="22"/>
      <c r="I113" s="69"/>
      <c r="J113" s="26" t="s">
        <v>22</v>
      </c>
      <c r="K113" s="25"/>
      <c r="L113" s="25"/>
      <c r="M113" s="25"/>
      <c r="N113" s="25"/>
      <c r="O113" s="25"/>
    </row>
    <row r="114" spans="1:15" ht="12.75" customHeight="1">
      <c r="A114" s="75" t="s">
        <v>67</v>
      </c>
      <c r="B114" s="72">
        <v>600</v>
      </c>
      <c r="C114" s="72">
        <v>60016</v>
      </c>
      <c r="D114" s="93" t="s">
        <v>68</v>
      </c>
      <c r="E114" s="61" t="s">
        <v>17</v>
      </c>
      <c r="F114" s="64">
        <v>2011</v>
      </c>
      <c r="G114" s="28">
        <v>2932</v>
      </c>
      <c r="H114" s="28">
        <v>0</v>
      </c>
      <c r="I114" s="67">
        <f>SUM(K114:O114)+G114+H114</f>
        <v>162932</v>
      </c>
      <c r="J114" s="23" t="s">
        <v>19</v>
      </c>
      <c r="K114" s="25">
        <f>SUM(K115:K117)</f>
        <v>0</v>
      </c>
      <c r="L114" s="25">
        <f>SUM(L115:L117)</f>
        <v>0</v>
      </c>
      <c r="M114" s="25">
        <f>SUM(M115:M117)</f>
        <v>160000</v>
      </c>
      <c r="N114" s="25">
        <f>SUM(N115:N117)</f>
        <v>0</v>
      </c>
      <c r="O114" s="25">
        <f>SUM(O115:O117)</f>
        <v>0</v>
      </c>
    </row>
    <row r="115" spans="1:15" ht="12.75">
      <c r="A115" s="76"/>
      <c r="B115" s="73"/>
      <c r="C115" s="73"/>
      <c r="D115" s="94"/>
      <c r="E115" s="62"/>
      <c r="F115" s="70"/>
      <c r="G115" s="28"/>
      <c r="H115" s="28"/>
      <c r="I115" s="68"/>
      <c r="J115" s="26" t="s">
        <v>20</v>
      </c>
      <c r="K115" s="25"/>
      <c r="L115" s="25"/>
      <c r="M115" s="25">
        <v>160000</v>
      </c>
      <c r="N115" s="25"/>
      <c r="O115" s="25"/>
    </row>
    <row r="116" spans="1:15" ht="22.5">
      <c r="A116" s="76"/>
      <c r="B116" s="73"/>
      <c r="C116" s="73"/>
      <c r="D116" s="94"/>
      <c r="E116" s="62"/>
      <c r="F116" s="70"/>
      <c r="G116" s="28"/>
      <c r="H116" s="28"/>
      <c r="I116" s="68"/>
      <c r="J116" s="27" t="s">
        <v>21</v>
      </c>
      <c r="K116" s="25"/>
      <c r="L116" s="25"/>
      <c r="M116" s="25"/>
      <c r="N116" s="25"/>
      <c r="O116" s="25"/>
    </row>
    <row r="117" spans="1:15" ht="12.75">
      <c r="A117" s="77"/>
      <c r="B117" s="74"/>
      <c r="C117" s="74"/>
      <c r="D117" s="95"/>
      <c r="E117" s="63"/>
      <c r="F117" s="71"/>
      <c r="G117" s="28"/>
      <c r="H117" s="28"/>
      <c r="I117" s="69"/>
      <c r="J117" s="26" t="s">
        <v>22</v>
      </c>
      <c r="K117" s="25"/>
      <c r="L117" s="25"/>
      <c r="M117" s="25"/>
      <c r="N117" s="25"/>
      <c r="O117" s="25"/>
    </row>
    <row r="118" spans="1:15" ht="12.75" customHeight="1">
      <c r="A118" s="75" t="s">
        <v>69</v>
      </c>
      <c r="B118" s="72">
        <v>600</v>
      </c>
      <c r="C118" s="72">
        <v>60016</v>
      </c>
      <c r="D118" s="93" t="s">
        <v>70</v>
      </c>
      <c r="E118" s="61" t="s">
        <v>17</v>
      </c>
      <c r="F118" s="64">
        <v>2011</v>
      </c>
      <c r="G118" s="28">
        <v>2932</v>
      </c>
      <c r="H118" s="28">
        <v>0</v>
      </c>
      <c r="I118" s="67">
        <f>SUM(K118:O118)+G118+H118</f>
        <v>452932</v>
      </c>
      <c r="J118" s="23" t="s">
        <v>19</v>
      </c>
      <c r="K118" s="25">
        <f>SUM(K119:K121)</f>
        <v>0</v>
      </c>
      <c r="L118" s="25">
        <f>SUM(L119:L121)</f>
        <v>0</v>
      </c>
      <c r="M118" s="25">
        <f>SUM(M119:M121)</f>
        <v>450000</v>
      </c>
      <c r="N118" s="25">
        <f>SUM(N119:N121)</f>
        <v>0</v>
      </c>
      <c r="O118" s="25">
        <f>SUM(O119:O121)</f>
        <v>0</v>
      </c>
    </row>
    <row r="119" spans="1:15" ht="12.75">
      <c r="A119" s="76"/>
      <c r="B119" s="73"/>
      <c r="C119" s="73"/>
      <c r="D119" s="94"/>
      <c r="E119" s="62"/>
      <c r="F119" s="70"/>
      <c r="G119" s="28"/>
      <c r="H119" s="28"/>
      <c r="I119" s="68"/>
      <c r="J119" s="26" t="s">
        <v>20</v>
      </c>
      <c r="K119" s="25"/>
      <c r="L119" s="25"/>
      <c r="M119" s="25">
        <v>450000</v>
      </c>
      <c r="N119" s="25"/>
      <c r="O119" s="25"/>
    </row>
    <row r="120" spans="1:15" ht="22.5">
      <c r="A120" s="76"/>
      <c r="B120" s="73"/>
      <c r="C120" s="73"/>
      <c r="D120" s="94"/>
      <c r="E120" s="62"/>
      <c r="F120" s="70"/>
      <c r="G120" s="28"/>
      <c r="H120" s="28"/>
      <c r="I120" s="68"/>
      <c r="J120" s="27" t="s">
        <v>21</v>
      </c>
      <c r="K120" s="25"/>
      <c r="L120" s="25"/>
      <c r="M120" s="25"/>
      <c r="N120" s="25"/>
      <c r="O120" s="25"/>
    </row>
    <row r="121" spans="1:15" ht="12.75">
      <c r="A121" s="77"/>
      <c r="B121" s="74"/>
      <c r="C121" s="74"/>
      <c r="D121" s="95"/>
      <c r="E121" s="63"/>
      <c r="F121" s="71"/>
      <c r="G121" s="28"/>
      <c r="H121" s="28"/>
      <c r="I121" s="69"/>
      <c r="J121" s="26" t="s">
        <v>22</v>
      </c>
      <c r="K121" s="25"/>
      <c r="L121" s="25"/>
      <c r="M121" s="25"/>
      <c r="N121" s="25"/>
      <c r="O121" s="25"/>
    </row>
    <row r="122" spans="1:15" ht="12.75" customHeight="1">
      <c r="A122" s="75" t="s">
        <v>71</v>
      </c>
      <c r="B122" s="72">
        <v>600</v>
      </c>
      <c r="C122" s="72">
        <v>60016</v>
      </c>
      <c r="D122" s="93" t="s">
        <v>72</v>
      </c>
      <c r="E122" s="61" t="s">
        <v>17</v>
      </c>
      <c r="F122" s="72">
        <v>2012</v>
      </c>
      <c r="G122" s="22">
        <v>2932</v>
      </c>
      <c r="H122" s="22">
        <v>0</v>
      </c>
      <c r="I122" s="67">
        <f>SUM(K122:O122)+G122+H122</f>
        <v>642932</v>
      </c>
      <c r="J122" s="23" t="s">
        <v>19</v>
      </c>
      <c r="K122" s="25">
        <f>SUM(K123:K125)</f>
        <v>0</v>
      </c>
      <c r="L122" s="25">
        <f>SUM(L123:L125)</f>
        <v>0</v>
      </c>
      <c r="M122" s="25">
        <f>SUM(M123:M125)</f>
        <v>0</v>
      </c>
      <c r="N122" s="25">
        <f>SUM(N123:N125)</f>
        <v>640000</v>
      </c>
      <c r="O122" s="25">
        <f>SUM(O123:O125)</f>
        <v>0</v>
      </c>
    </row>
    <row r="123" spans="1:15" ht="12.75">
      <c r="A123" s="76"/>
      <c r="B123" s="73"/>
      <c r="C123" s="73"/>
      <c r="D123" s="94"/>
      <c r="E123" s="62"/>
      <c r="F123" s="73"/>
      <c r="G123" s="22"/>
      <c r="H123" s="22"/>
      <c r="I123" s="68"/>
      <c r="J123" s="26" t="s">
        <v>20</v>
      </c>
      <c r="K123" s="25"/>
      <c r="L123" s="25"/>
      <c r="M123" s="25"/>
      <c r="N123" s="25">
        <v>640000</v>
      </c>
      <c r="O123" s="25"/>
    </row>
    <row r="124" spans="1:15" ht="22.5">
      <c r="A124" s="76"/>
      <c r="B124" s="73"/>
      <c r="C124" s="73"/>
      <c r="D124" s="94"/>
      <c r="E124" s="62"/>
      <c r="F124" s="73"/>
      <c r="G124" s="22"/>
      <c r="H124" s="22"/>
      <c r="I124" s="68"/>
      <c r="J124" s="27" t="s">
        <v>21</v>
      </c>
      <c r="K124" s="25"/>
      <c r="L124" s="25"/>
      <c r="M124" s="25"/>
      <c r="N124" s="25"/>
      <c r="O124" s="25"/>
    </row>
    <row r="125" spans="1:15" ht="12.75">
      <c r="A125" s="77"/>
      <c r="B125" s="74"/>
      <c r="C125" s="74"/>
      <c r="D125" s="95"/>
      <c r="E125" s="63"/>
      <c r="F125" s="74"/>
      <c r="G125" s="22"/>
      <c r="H125" s="22"/>
      <c r="I125" s="69"/>
      <c r="J125" s="26" t="s">
        <v>22</v>
      </c>
      <c r="K125" s="25"/>
      <c r="L125" s="25"/>
      <c r="M125" s="25"/>
      <c r="N125" s="25"/>
      <c r="O125" s="25"/>
    </row>
    <row r="126" spans="1:15" ht="12.75" customHeight="1">
      <c r="A126" s="75" t="s">
        <v>73</v>
      </c>
      <c r="B126" s="72">
        <v>600</v>
      </c>
      <c r="C126" s="72">
        <v>60016</v>
      </c>
      <c r="D126" s="93" t="s">
        <v>74</v>
      </c>
      <c r="E126" s="61" t="s">
        <v>17</v>
      </c>
      <c r="F126" s="72"/>
      <c r="G126" s="22">
        <v>2932</v>
      </c>
      <c r="H126" s="22">
        <v>0</v>
      </c>
      <c r="I126" s="67">
        <f>SUM(K126:O126)+G126+H126</f>
        <v>2932</v>
      </c>
      <c r="J126" s="23" t="s">
        <v>19</v>
      </c>
      <c r="K126" s="25">
        <f>SUM(K127:K129)</f>
        <v>0</v>
      </c>
      <c r="L126" s="25">
        <f>SUM(L127:L129)</f>
        <v>0</v>
      </c>
      <c r="M126" s="25">
        <f>SUM(M127:M129)</f>
        <v>0</v>
      </c>
      <c r="N126" s="25">
        <f>SUM(N127:N129)</f>
        <v>0</v>
      </c>
      <c r="O126" s="25">
        <f>SUM(O127:O129)</f>
        <v>0</v>
      </c>
    </row>
    <row r="127" spans="1:15" ht="12.75">
      <c r="A127" s="76"/>
      <c r="B127" s="73"/>
      <c r="C127" s="73"/>
      <c r="D127" s="94"/>
      <c r="E127" s="62"/>
      <c r="F127" s="73"/>
      <c r="G127" s="22"/>
      <c r="H127" s="22"/>
      <c r="I127" s="68"/>
      <c r="J127" s="26" t="s">
        <v>20</v>
      </c>
      <c r="K127" s="25"/>
      <c r="L127" s="25"/>
      <c r="M127" s="25"/>
      <c r="N127" s="25"/>
      <c r="O127" s="25"/>
    </row>
    <row r="128" spans="1:15" ht="22.5">
      <c r="A128" s="76"/>
      <c r="B128" s="73"/>
      <c r="C128" s="73"/>
      <c r="D128" s="94"/>
      <c r="E128" s="62"/>
      <c r="F128" s="73"/>
      <c r="G128" s="22"/>
      <c r="H128" s="22"/>
      <c r="I128" s="68"/>
      <c r="J128" s="27" t="s">
        <v>21</v>
      </c>
      <c r="K128" s="25"/>
      <c r="L128" s="25"/>
      <c r="M128" s="25"/>
      <c r="N128" s="25"/>
      <c r="O128" s="25"/>
    </row>
    <row r="129" spans="1:15" ht="12.75">
      <c r="A129" s="77"/>
      <c r="B129" s="74"/>
      <c r="C129" s="74"/>
      <c r="D129" s="95"/>
      <c r="E129" s="63"/>
      <c r="F129" s="74"/>
      <c r="G129" s="22"/>
      <c r="H129" s="22"/>
      <c r="I129" s="69"/>
      <c r="J129" s="26" t="s">
        <v>22</v>
      </c>
      <c r="K129" s="25"/>
      <c r="L129" s="25"/>
      <c r="M129" s="25"/>
      <c r="N129" s="25"/>
      <c r="O129" s="25"/>
    </row>
    <row r="130" spans="1:15" ht="12.75" customHeight="1">
      <c r="A130" s="75">
        <v>13</v>
      </c>
      <c r="B130" s="72">
        <v>600</v>
      </c>
      <c r="C130" s="72">
        <v>60016</v>
      </c>
      <c r="D130" s="78" t="s">
        <v>75</v>
      </c>
      <c r="E130" s="61" t="s">
        <v>17</v>
      </c>
      <c r="F130" s="72"/>
      <c r="G130" s="22">
        <f>SUM(G134,G138,G142,G146,G150,G154,G158,G162,G166)</f>
        <v>86889</v>
      </c>
      <c r="H130" s="22">
        <f>SUM(H134,H138,H142,H146,H150,H154,H158,H162,H166)</f>
        <v>505000</v>
      </c>
      <c r="I130" s="67">
        <f>SUM(K130:O130)+G130+H130</f>
        <v>4301889</v>
      </c>
      <c r="J130" s="23" t="s">
        <v>19</v>
      </c>
      <c r="K130" s="25">
        <f>SUM(K131:K133)</f>
        <v>0</v>
      </c>
      <c r="L130" s="25">
        <f>SUM(L131:L133)</f>
        <v>450000</v>
      </c>
      <c r="M130" s="25">
        <f>SUM(M131:M133)</f>
        <v>450000</v>
      </c>
      <c r="N130" s="25">
        <f>SUM(N131:N133)</f>
        <v>1000000</v>
      </c>
      <c r="O130" s="25">
        <f>SUM(O131:O133)</f>
        <v>1810000</v>
      </c>
    </row>
    <row r="131" spans="1:15" ht="22.5" customHeight="1">
      <c r="A131" s="76"/>
      <c r="B131" s="73"/>
      <c r="C131" s="73"/>
      <c r="D131" s="79"/>
      <c r="E131" s="62"/>
      <c r="F131" s="73"/>
      <c r="G131" s="22"/>
      <c r="H131" s="22"/>
      <c r="I131" s="68"/>
      <c r="J131" s="26" t="s">
        <v>20</v>
      </c>
      <c r="K131" s="25">
        <f aca="true" t="shared" si="4" ref="K131:O133">K135+K139+K143+K147+K151+K155+K159+K163+K167</f>
        <v>0</v>
      </c>
      <c r="L131" s="25">
        <f t="shared" si="4"/>
        <v>450000</v>
      </c>
      <c r="M131" s="25">
        <f t="shared" si="4"/>
        <v>450000</v>
      </c>
      <c r="N131" s="25">
        <f t="shared" si="4"/>
        <v>1000000</v>
      </c>
      <c r="O131" s="25">
        <f t="shared" si="4"/>
        <v>1810000</v>
      </c>
    </row>
    <row r="132" spans="1:15" ht="22.5">
      <c r="A132" s="76"/>
      <c r="B132" s="73"/>
      <c r="C132" s="73"/>
      <c r="D132" s="79"/>
      <c r="E132" s="62"/>
      <c r="F132" s="73"/>
      <c r="G132" s="22"/>
      <c r="H132" s="22"/>
      <c r="I132" s="68"/>
      <c r="J132" s="27" t="s">
        <v>21</v>
      </c>
      <c r="K132" s="25">
        <f t="shared" si="4"/>
        <v>0</v>
      </c>
      <c r="L132" s="25">
        <f t="shared" si="4"/>
        <v>0</v>
      </c>
      <c r="M132" s="25">
        <f t="shared" si="4"/>
        <v>0</v>
      </c>
      <c r="N132" s="25">
        <f t="shared" si="4"/>
        <v>0</v>
      </c>
      <c r="O132" s="25">
        <f t="shared" si="4"/>
        <v>0</v>
      </c>
    </row>
    <row r="133" spans="1:15" ht="12.75">
      <c r="A133" s="77"/>
      <c r="B133" s="74"/>
      <c r="C133" s="74"/>
      <c r="D133" s="80"/>
      <c r="E133" s="63"/>
      <c r="F133" s="74"/>
      <c r="G133" s="22"/>
      <c r="H133" s="22"/>
      <c r="I133" s="69"/>
      <c r="J133" s="26" t="s">
        <v>22</v>
      </c>
      <c r="K133" s="25">
        <f t="shared" si="4"/>
        <v>0</v>
      </c>
      <c r="L133" s="25">
        <f t="shared" si="4"/>
        <v>0</v>
      </c>
      <c r="M133" s="25">
        <f t="shared" si="4"/>
        <v>0</v>
      </c>
      <c r="N133" s="25">
        <f t="shared" si="4"/>
        <v>0</v>
      </c>
      <c r="O133" s="25">
        <f t="shared" si="4"/>
        <v>0</v>
      </c>
    </row>
    <row r="134" spans="1:15" ht="12.75" customHeight="1">
      <c r="A134" s="75" t="s">
        <v>76</v>
      </c>
      <c r="B134" s="72">
        <v>600</v>
      </c>
      <c r="C134" s="72">
        <v>60016</v>
      </c>
      <c r="D134" s="93" t="s">
        <v>77</v>
      </c>
      <c r="E134" s="61" t="s">
        <v>17</v>
      </c>
      <c r="F134" s="72" t="s">
        <v>26</v>
      </c>
      <c r="G134" s="22">
        <v>9657</v>
      </c>
      <c r="H134" s="22">
        <v>50000</v>
      </c>
      <c r="I134" s="67">
        <f>SUM(K134:O134)+G134+H134</f>
        <v>159657</v>
      </c>
      <c r="J134" s="23" t="s">
        <v>19</v>
      </c>
      <c r="K134" s="25">
        <f>SUM(K135:K137)</f>
        <v>0</v>
      </c>
      <c r="L134" s="25">
        <f>SUM(L135:L137)</f>
        <v>50000</v>
      </c>
      <c r="M134" s="25">
        <f>SUM(M135:M137)</f>
        <v>50000</v>
      </c>
      <c r="N134" s="25">
        <f>SUM(N135:N137)</f>
        <v>0</v>
      </c>
      <c r="O134" s="25">
        <f>SUM(O135:O137)</f>
        <v>0</v>
      </c>
    </row>
    <row r="135" spans="1:15" ht="12.75">
      <c r="A135" s="76"/>
      <c r="B135" s="73"/>
      <c r="C135" s="73"/>
      <c r="D135" s="94"/>
      <c r="E135" s="62"/>
      <c r="F135" s="73"/>
      <c r="G135" s="22"/>
      <c r="H135" s="22"/>
      <c r="I135" s="68"/>
      <c r="J135" s="26" t="s">
        <v>20</v>
      </c>
      <c r="K135" s="25"/>
      <c r="L135" s="25">
        <v>50000</v>
      </c>
      <c r="M135" s="25">
        <v>50000</v>
      </c>
      <c r="N135" s="25"/>
      <c r="O135" s="25"/>
    </row>
    <row r="136" spans="1:15" ht="22.5">
      <c r="A136" s="76"/>
      <c r="B136" s="73"/>
      <c r="C136" s="73"/>
      <c r="D136" s="94"/>
      <c r="E136" s="62"/>
      <c r="F136" s="73"/>
      <c r="G136" s="22"/>
      <c r="H136" s="22"/>
      <c r="I136" s="68"/>
      <c r="J136" s="27" t="s">
        <v>21</v>
      </c>
      <c r="K136" s="25"/>
      <c r="L136" s="25"/>
      <c r="M136" s="25"/>
      <c r="N136" s="25"/>
      <c r="O136" s="25"/>
    </row>
    <row r="137" spans="1:15" ht="12.75">
      <c r="A137" s="77"/>
      <c r="B137" s="74"/>
      <c r="C137" s="74"/>
      <c r="D137" s="95"/>
      <c r="E137" s="63"/>
      <c r="F137" s="74"/>
      <c r="G137" s="22"/>
      <c r="H137" s="22"/>
      <c r="I137" s="69"/>
      <c r="J137" s="26" t="s">
        <v>22</v>
      </c>
      <c r="K137" s="25"/>
      <c r="L137" s="25"/>
      <c r="M137" s="25"/>
      <c r="N137" s="25"/>
      <c r="O137" s="25"/>
    </row>
    <row r="138" spans="1:15" ht="12.75" customHeight="1">
      <c r="A138" s="75" t="s">
        <v>78</v>
      </c>
      <c r="B138" s="72">
        <v>600</v>
      </c>
      <c r="C138" s="72">
        <v>60016</v>
      </c>
      <c r="D138" s="93" t="s">
        <v>79</v>
      </c>
      <c r="E138" s="61" t="s">
        <v>17</v>
      </c>
      <c r="F138" s="72" t="s">
        <v>29</v>
      </c>
      <c r="G138" s="22">
        <v>9654</v>
      </c>
      <c r="H138" s="22">
        <v>70000</v>
      </c>
      <c r="I138" s="67">
        <f>SUM(K138:O138)+G138+H138</f>
        <v>829654</v>
      </c>
      <c r="J138" s="23" t="s">
        <v>19</v>
      </c>
      <c r="K138" s="25">
        <f>SUM(K139:K141)</f>
        <v>0</v>
      </c>
      <c r="L138" s="25">
        <f>SUM(L139:L141)</f>
        <v>50000</v>
      </c>
      <c r="M138" s="25">
        <f>SUM(M139:M141)</f>
        <v>50000</v>
      </c>
      <c r="N138" s="25">
        <f>SUM(N139:N141)</f>
        <v>0</v>
      </c>
      <c r="O138" s="25">
        <f>SUM(O139:O141)</f>
        <v>650000</v>
      </c>
    </row>
    <row r="139" spans="1:15" ht="12.75">
      <c r="A139" s="76"/>
      <c r="B139" s="73"/>
      <c r="C139" s="73"/>
      <c r="D139" s="94"/>
      <c r="E139" s="62"/>
      <c r="F139" s="73"/>
      <c r="G139" s="22"/>
      <c r="H139" s="22"/>
      <c r="I139" s="68"/>
      <c r="J139" s="26" t="s">
        <v>20</v>
      </c>
      <c r="K139" s="25"/>
      <c r="L139" s="25">
        <v>50000</v>
      </c>
      <c r="M139" s="25">
        <v>50000</v>
      </c>
      <c r="N139" s="25"/>
      <c r="O139" s="25">
        <v>650000</v>
      </c>
    </row>
    <row r="140" spans="1:15" ht="22.5">
      <c r="A140" s="76"/>
      <c r="B140" s="73"/>
      <c r="C140" s="73"/>
      <c r="D140" s="94"/>
      <c r="E140" s="62"/>
      <c r="F140" s="73"/>
      <c r="G140" s="22"/>
      <c r="H140" s="22"/>
      <c r="I140" s="68"/>
      <c r="J140" s="27" t="s">
        <v>21</v>
      </c>
      <c r="K140" s="25"/>
      <c r="L140" s="25"/>
      <c r="M140" s="25"/>
      <c r="N140" s="25"/>
      <c r="O140" s="25"/>
    </row>
    <row r="141" spans="1:15" ht="12.75">
      <c r="A141" s="77"/>
      <c r="B141" s="74"/>
      <c r="C141" s="74"/>
      <c r="D141" s="95"/>
      <c r="E141" s="63"/>
      <c r="F141" s="74"/>
      <c r="G141" s="22"/>
      <c r="H141" s="22"/>
      <c r="I141" s="69"/>
      <c r="J141" s="26" t="s">
        <v>22</v>
      </c>
      <c r="K141" s="25"/>
      <c r="L141" s="25"/>
      <c r="M141" s="25"/>
      <c r="N141" s="25"/>
      <c r="O141" s="25"/>
    </row>
    <row r="142" spans="1:15" ht="12.75" customHeight="1">
      <c r="A142" s="75" t="s">
        <v>80</v>
      </c>
      <c r="B142" s="72">
        <v>600</v>
      </c>
      <c r="C142" s="72">
        <v>60016</v>
      </c>
      <c r="D142" s="93" t="s">
        <v>81</v>
      </c>
      <c r="E142" s="61" t="s">
        <v>17</v>
      </c>
      <c r="F142" s="72" t="s">
        <v>42</v>
      </c>
      <c r="G142" s="22">
        <v>9654</v>
      </c>
      <c r="H142" s="22">
        <v>60000</v>
      </c>
      <c r="I142" s="67">
        <f>SUM(K142:O142)+G142+H142</f>
        <v>759654</v>
      </c>
      <c r="J142" s="23" t="s">
        <v>19</v>
      </c>
      <c r="K142" s="25">
        <f>SUM(K143:K145)</f>
        <v>0</v>
      </c>
      <c r="L142" s="25">
        <f>SUM(L143:L145)</f>
        <v>50000</v>
      </c>
      <c r="M142" s="25">
        <f>SUM(M143:M145)</f>
        <v>50000</v>
      </c>
      <c r="N142" s="25">
        <f>SUM(N143:N145)</f>
        <v>590000</v>
      </c>
      <c r="O142" s="25">
        <f>SUM(O143:O145)</f>
        <v>0</v>
      </c>
    </row>
    <row r="143" spans="1:15" ht="12.75">
      <c r="A143" s="76"/>
      <c r="B143" s="73"/>
      <c r="C143" s="73"/>
      <c r="D143" s="94"/>
      <c r="E143" s="62"/>
      <c r="F143" s="73"/>
      <c r="G143" s="22"/>
      <c r="H143" s="22"/>
      <c r="I143" s="68"/>
      <c r="J143" s="26" t="s">
        <v>20</v>
      </c>
      <c r="K143" s="25"/>
      <c r="L143" s="25">
        <v>50000</v>
      </c>
      <c r="M143" s="25">
        <v>50000</v>
      </c>
      <c r="N143" s="25">
        <v>590000</v>
      </c>
      <c r="O143" s="25"/>
    </row>
    <row r="144" spans="1:15" ht="22.5">
      <c r="A144" s="76"/>
      <c r="B144" s="73"/>
      <c r="C144" s="73"/>
      <c r="D144" s="94"/>
      <c r="E144" s="62"/>
      <c r="F144" s="73"/>
      <c r="G144" s="22"/>
      <c r="H144" s="22"/>
      <c r="I144" s="68"/>
      <c r="J144" s="27" t="s">
        <v>21</v>
      </c>
      <c r="K144" s="25"/>
      <c r="L144" s="25"/>
      <c r="M144" s="25"/>
      <c r="N144" s="25"/>
      <c r="O144" s="25"/>
    </row>
    <row r="145" spans="1:15" ht="12.75">
      <c r="A145" s="77"/>
      <c r="B145" s="74"/>
      <c r="C145" s="74"/>
      <c r="D145" s="95"/>
      <c r="E145" s="63"/>
      <c r="F145" s="74"/>
      <c r="G145" s="22"/>
      <c r="H145" s="22"/>
      <c r="I145" s="69"/>
      <c r="J145" s="26" t="s">
        <v>22</v>
      </c>
      <c r="K145" s="25"/>
      <c r="L145" s="25"/>
      <c r="M145" s="25"/>
      <c r="N145" s="25"/>
      <c r="O145" s="25"/>
    </row>
    <row r="146" spans="1:15" ht="12.75" customHeight="1">
      <c r="A146" s="75" t="s">
        <v>82</v>
      </c>
      <c r="B146" s="72">
        <v>600</v>
      </c>
      <c r="C146" s="72">
        <v>60016</v>
      </c>
      <c r="D146" s="93" t="s">
        <v>83</v>
      </c>
      <c r="E146" s="61" t="s">
        <v>17</v>
      </c>
      <c r="F146" s="72" t="s">
        <v>29</v>
      </c>
      <c r="G146" s="22">
        <v>9654</v>
      </c>
      <c r="H146" s="22">
        <v>60000</v>
      </c>
      <c r="I146" s="67">
        <f>SUM(K146:O146)+G146+H146</f>
        <v>199654</v>
      </c>
      <c r="J146" s="23" t="s">
        <v>19</v>
      </c>
      <c r="K146" s="25">
        <f>SUM(K147:K149)</f>
        <v>0</v>
      </c>
      <c r="L146" s="25">
        <f>SUM(L147:L149)</f>
        <v>50000</v>
      </c>
      <c r="M146" s="25">
        <f>SUM(M147:M149)</f>
        <v>50000</v>
      </c>
      <c r="N146" s="25">
        <f>SUM(N147:N149)</f>
        <v>0</v>
      </c>
      <c r="O146" s="25">
        <f>SUM(O147:O149)</f>
        <v>30000</v>
      </c>
    </row>
    <row r="147" spans="1:15" ht="12.75">
      <c r="A147" s="76"/>
      <c r="B147" s="73"/>
      <c r="C147" s="73"/>
      <c r="D147" s="94"/>
      <c r="E147" s="62"/>
      <c r="F147" s="73"/>
      <c r="G147" s="22"/>
      <c r="H147" s="22"/>
      <c r="I147" s="68"/>
      <c r="J147" s="26" t="s">
        <v>20</v>
      </c>
      <c r="K147" s="25"/>
      <c r="L147" s="25">
        <v>50000</v>
      </c>
      <c r="M147" s="25">
        <v>50000</v>
      </c>
      <c r="N147" s="25"/>
      <c r="O147" s="25">
        <v>30000</v>
      </c>
    </row>
    <row r="148" spans="1:15" ht="22.5">
      <c r="A148" s="76"/>
      <c r="B148" s="73"/>
      <c r="C148" s="73"/>
      <c r="D148" s="94"/>
      <c r="E148" s="62"/>
      <c r="F148" s="73"/>
      <c r="G148" s="22"/>
      <c r="H148" s="22"/>
      <c r="I148" s="68"/>
      <c r="J148" s="27" t="s">
        <v>21</v>
      </c>
      <c r="K148" s="25"/>
      <c r="L148" s="25"/>
      <c r="M148" s="25"/>
      <c r="N148" s="25"/>
      <c r="O148" s="25"/>
    </row>
    <row r="149" spans="1:15" ht="12.75">
      <c r="A149" s="77"/>
      <c r="B149" s="74"/>
      <c r="C149" s="74"/>
      <c r="D149" s="95"/>
      <c r="E149" s="63"/>
      <c r="F149" s="74"/>
      <c r="G149" s="22"/>
      <c r="H149" s="22"/>
      <c r="I149" s="69"/>
      <c r="J149" s="26" t="s">
        <v>22</v>
      </c>
      <c r="K149" s="25"/>
      <c r="L149" s="25"/>
      <c r="M149" s="25"/>
      <c r="N149" s="25"/>
      <c r="O149" s="25"/>
    </row>
    <row r="150" spans="1:15" ht="12.75" customHeight="1">
      <c r="A150" s="75" t="s">
        <v>84</v>
      </c>
      <c r="B150" s="72">
        <v>600</v>
      </c>
      <c r="C150" s="72">
        <v>60016</v>
      </c>
      <c r="D150" s="93" t="s">
        <v>85</v>
      </c>
      <c r="E150" s="61" t="s">
        <v>17</v>
      </c>
      <c r="F150" s="72" t="s">
        <v>26</v>
      </c>
      <c r="G150" s="22">
        <v>9654</v>
      </c>
      <c r="H150" s="22">
        <v>45000</v>
      </c>
      <c r="I150" s="67">
        <f>SUM(K150:O150)+G150+H150</f>
        <v>154654</v>
      </c>
      <c r="J150" s="23" t="s">
        <v>19</v>
      </c>
      <c r="K150" s="25">
        <f>SUM(K151:K153)</f>
        <v>0</v>
      </c>
      <c r="L150" s="25">
        <f>SUM(L151:L153)</f>
        <v>50000</v>
      </c>
      <c r="M150" s="25">
        <f>SUM(M151:M153)</f>
        <v>50000</v>
      </c>
      <c r="N150" s="25">
        <f>SUM(N151:N153)</f>
        <v>0</v>
      </c>
      <c r="O150" s="25">
        <f>SUM(O151:O153)</f>
        <v>0</v>
      </c>
    </row>
    <row r="151" spans="1:15" ht="12.75">
      <c r="A151" s="76"/>
      <c r="B151" s="73"/>
      <c r="C151" s="73"/>
      <c r="D151" s="94"/>
      <c r="E151" s="62"/>
      <c r="F151" s="73"/>
      <c r="G151" s="22"/>
      <c r="H151" s="22"/>
      <c r="I151" s="68"/>
      <c r="J151" s="26" t="s">
        <v>20</v>
      </c>
      <c r="K151" s="25"/>
      <c r="L151" s="25">
        <v>50000</v>
      </c>
      <c r="M151" s="25">
        <v>50000</v>
      </c>
      <c r="N151" s="25"/>
      <c r="O151" s="25"/>
    </row>
    <row r="152" spans="1:15" ht="22.5">
      <c r="A152" s="76"/>
      <c r="B152" s="73"/>
      <c r="C152" s="73"/>
      <c r="D152" s="94"/>
      <c r="E152" s="62"/>
      <c r="F152" s="73"/>
      <c r="G152" s="22"/>
      <c r="H152" s="22"/>
      <c r="I152" s="68"/>
      <c r="J152" s="27" t="s">
        <v>21</v>
      </c>
      <c r="K152" s="25"/>
      <c r="L152" s="25"/>
      <c r="M152" s="25"/>
      <c r="N152" s="25"/>
      <c r="O152" s="25"/>
    </row>
    <row r="153" spans="1:15" ht="12.75">
      <c r="A153" s="77"/>
      <c r="B153" s="74"/>
      <c r="C153" s="74"/>
      <c r="D153" s="95"/>
      <c r="E153" s="63"/>
      <c r="F153" s="74"/>
      <c r="G153" s="22"/>
      <c r="H153" s="22"/>
      <c r="I153" s="69"/>
      <c r="J153" s="26" t="s">
        <v>22</v>
      </c>
      <c r="K153" s="25"/>
      <c r="L153" s="25"/>
      <c r="M153" s="25"/>
      <c r="N153" s="25"/>
      <c r="O153" s="25"/>
    </row>
    <row r="154" spans="1:15" ht="12.75" customHeight="1">
      <c r="A154" s="75" t="s">
        <v>86</v>
      </c>
      <c r="B154" s="72">
        <v>600</v>
      </c>
      <c r="C154" s="72">
        <v>60016</v>
      </c>
      <c r="D154" s="93" t="s">
        <v>87</v>
      </c>
      <c r="E154" s="61" t="s">
        <v>17</v>
      </c>
      <c r="F154" s="72" t="s">
        <v>29</v>
      </c>
      <c r="G154" s="22">
        <v>9654</v>
      </c>
      <c r="H154" s="22">
        <v>70000</v>
      </c>
      <c r="I154" s="67">
        <f>SUM(K154:O154)+G154+H154</f>
        <v>629654</v>
      </c>
      <c r="J154" s="23" t="s">
        <v>19</v>
      </c>
      <c r="K154" s="25">
        <f>SUM(K155:K157)</f>
        <v>0</v>
      </c>
      <c r="L154" s="25">
        <f>SUM(L155:L157)</f>
        <v>50000</v>
      </c>
      <c r="M154" s="25">
        <f>SUM(M155:M157)</f>
        <v>50000</v>
      </c>
      <c r="N154" s="25">
        <f>SUM(N155:N157)</f>
        <v>0</v>
      </c>
      <c r="O154" s="25">
        <f>SUM(O155:O157)</f>
        <v>450000</v>
      </c>
    </row>
    <row r="155" spans="1:15" ht="12.75">
      <c r="A155" s="76"/>
      <c r="B155" s="73"/>
      <c r="C155" s="73"/>
      <c r="D155" s="94"/>
      <c r="E155" s="62"/>
      <c r="F155" s="73"/>
      <c r="G155" s="22"/>
      <c r="H155" s="22"/>
      <c r="I155" s="68"/>
      <c r="J155" s="26" t="s">
        <v>20</v>
      </c>
      <c r="K155" s="25"/>
      <c r="L155" s="25">
        <v>50000</v>
      </c>
      <c r="M155" s="25">
        <v>50000</v>
      </c>
      <c r="N155" s="25"/>
      <c r="O155" s="25">
        <v>450000</v>
      </c>
    </row>
    <row r="156" spans="1:15" ht="22.5">
      <c r="A156" s="76"/>
      <c r="B156" s="73"/>
      <c r="C156" s="73"/>
      <c r="D156" s="94"/>
      <c r="E156" s="62"/>
      <c r="F156" s="73"/>
      <c r="G156" s="22"/>
      <c r="H156" s="22"/>
      <c r="I156" s="68"/>
      <c r="J156" s="27" t="s">
        <v>21</v>
      </c>
      <c r="K156" s="25"/>
      <c r="L156" s="25"/>
      <c r="M156" s="25"/>
      <c r="N156" s="25"/>
      <c r="O156" s="25"/>
    </row>
    <row r="157" spans="1:15" ht="12.75">
      <c r="A157" s="77"/>
      <c r="B157" s="74"/>
      <c r="C157" s="74"/>
      <c r="D157" s="95"/>
      <c r="E157" s="63"/>
      <c r="F157" s="74"/>
      <c r="G157" s="22"/>
      <c r="H157" s="22"/>
      <c r="I157" s="69"/>
      <c r="J157" s="26" t="s">
        <v>22</v>
      </c>
      <c r="K157" s="25"/>
      <c r="L157" s="25"/>
      <c r="M157" s="25"/>
      <c r="N157" s="25"/>
      <c r="O157" s="25"/>
    </row>
    <row r="158" spans="1:15" ht="12.75" customHeight="1">
      <c r="A158" s="75" t="s">
        <v>88</v>
      </c>
      <c r="B158" s="72">
        <v>600</v>
      </c>
      <c r="C158" s="72">
        <v>60016</v>
      </c>
      <c r="D158" s="93" t="s">
        <v>89</v>
      </c>
      <c r="E158" s="61" t="s">
        <v>17</v>
      </c>
      <c r="F158" s="72" t="s">
        <v>29</v>
      </c>
      <c r="G158" s="22">
        <v>9654</v>
      </c>
      <c r="H158" s="22">
        <v>60000</v>
      </c>
      <c r="I158" s="67">
        <f>SUM(K158:O158)+G158+H158</f>
        <v>859654</v>
      </c>
      <c r="J158" s="23" t="s">
        <v>19</v>
      </c>
      <c r="K158" s="25">
        <f>SUM(K159:K161)</f>
        <v>0</v>
      </c>
      <c r="L158" s="25">
        <f>SUM(L159:L161)</f>
        <v>50000</v>
      </c>
      <c r="M158" s="25">
        <f>SUM(M159:M161)</f>
        <v>50000</v>
      </c>
      <c r="N158" s="25">
        <f>SUM(N159:N161)</f>
        <v>35000</v>
      </c>
      <c r="O158" s="25">
        <f>SUM(O159:O161)</f>
        <v>655000</v>
      </c>
    </row>
    <row r="159" spans="1:15" ht="12.75">
      <c r="A159" s="76"/>
      <c r="B159" s="73"/>
      <c r="C159" s="73"/>
      <c r="D159" s="94"/>
      <c r="E159" s="62"/>
      <c r="F159" s="73"/>
      <c r="G159" s="22"/>
      <c r="H159" s="22"/>
      <c r="I159" s="68"/>
      <c r="J159" s="26" t="s">
        <v>20</v>
      </c>
      <c r="K159" s="25"/>
      <c r="L159" s="25">
        <v>50000</v>
      </c>
      <c r="M159" s="25">
        <v>50000</v>
      </c>
      <c r="N159" s="25">
        <v>35000</v>
      </c>
      <c r="O159" s="25">
        <v>655000</v>
      </c>
    </row>
    <row r="160" spans="1:15" ht="22.5">
      <c r="A160" s="76"/>
      <c r="B160" s="73"/>
      <c r="C160" s="73"/>
      <c r="D160" s="94"/>
      <c r="E160" s="62"/>
      <c r="F160" s="73"/>
      <c r="G160" s="22"/>
      <c r="H160" s="22"/>
      <c r="I160" s="68"/>
      <c r="J160" s="27" t="s">
        <v>21</v>
      </c>
      <c r="K160" s="25"/>
      <c r="L160" s="25"/>
      <c r="M160" s="25"/>
      <c r="N160" s="25"/>
      <c r="O160" s="25"/>
    </row>
    <row r="161" spans="1:15" ht="12.75">
      <c r="A161" s="77"/>
      <c r="B161" s="74"/>
      <c r="C161" s="74"/>
      <c r="D161" s="95"/>
      <c r="E161" s="63"/>
      <c r="F161" s="74"/>
      <c r="G161" s="22"/>
      <c r="H161" s="22"/>
      <c r="I161" s="69"/>
      <c r="J161" s="26" t="s">
        <v>22</v>
      </c>
      <c r="K161" s="25"/>
      <c r="L161" s="25"/>
      <c r="M161" s="25"/>
      <c r="N161" s="25"/>
      <c r="O161" s="25"/>
    </row>
    <row r="162" spans="1:15" ht="12.75" customHeight="1">
      <c r="A162" s="75" t="s">
        <v>90</v>
      </c>
      <c r="B162" s="72">
        <v>600</v>
      </c>
      <c r="C162" s="72">
        <v>60016</v>
      </c>
      <c r="D162" s="93" t="s">
        <v>91</v>
      </c>
      <c r="E162" s="61" t="s">
        <v>17</v>
      </c>
      <c r="F162" s="64" t="s">
        <v>42</v>
      </c>
      <c r="G162" s="28">
        <v>9654</v>
      </c>
      <c r="H162" s="28">
        <v>45000</v>
      </c>
      <c r="I162" s="67">
        <f>SUM(K162:O162)+G162+H162</f>
        <v>529654</v>
      </c>
      <c r="J162" s="23" t="s">
        <v>19</v>
      </c>
      <c r="K162" s="25">
        <f>SUM(K163:K165)</f>
        <v>0</v>
      </c>
      <c r="L162" s="25">
        <f>SUM(L163:L165)</f>
        <v>50000</v>
      </c>
      <c r="M162" s="25">
        <f>SUM(M163:M165)</f>
        <v>50000</v>
      </c>
      <c r="N162" s="25">
        <f>SUM(N163:N165)</f>
        <v>375000</v>
      </c>
      <c r="O162" s="25">
        <f>SUM(O163:O165)</f>
        <v>0</v>
      </c>
    </row>
    <row r="163" spans="1:15" ht="12.75">
      <c r="A163" s="76"/>
      <c r="B163" s="73"/>
      <c r="C163" s="73"/>
      <c r="D163" s="94"/>
      <c r="E163" s="62"/>
      <c r="F163" s="70"/>
      <c r="G163" s="28"/>
      <c r="H163" s="28"/>
      <c r="I163" s="68"/>
      <c r="J163" s="26" t="s">
        <v>20</v>
      </c>
      <c r="K163" s="25"/>
      <c r="L163" s="25">
        <v>50000</v>
      </c>
      <c r="M163" s="25">
        <v>50000</v>
      </c>
      <c r="N163" s="25">
        <v>375000</v>
      </c>
      <c r="O163" s="25"/>
    </row>
    <row r="164" spans="1:15" ht="22.5">
      <c r="A164" s="76"/>
      <c r="B164" s="73"/>
      <c r="C164" s="73"/>
      <c r="D164" s="94"/>
      <c r="E164" s="62"/>
      <c r="F164" s="70"/>
      <c r="G164" s="28"/>
      <c r="H164" s="28"/>
      <c r="I164" s="68"/>
      <c r="J164" s="27" t="s">
        <v>21</v>
      </c>
      <c r="K164" s="25"/>
      <c r="L164" s="25"/>
      <c r="M164" s="25"/>
      <c r="N164" s="25"/>
      <c r="O164" s="25"/>
    </row>
    <row r="165" spans="1:15" ht="12.75">
      <c r="A165" s="77"/>
      <c r="B165" s="74"/>
      <c r="C165" s="74"/>
      <c r="D165" s="95"/>
      <c r="E165" s="63"/>
      <c r="F165" s="71"/>
      <c r="G165" s="28"/>
      <c r="H165" s="28"/>
      <c r="I165" s="69"/>
      <c r="J165" s="26" t="s">
        <v>22</v>
      </c>
      <c r="K165" s="25"/>
      <c r="L165" s="25"/>
      <c r="M165" s="25"/>
      <c r="N165" s="25"/>
      <c r="O165" s="25"/>
    </row>
    <row r="166" spans="1:15" ht="12.75" customHeight="1">
      <c r="A166" s="75" t="s">
        <v>92</v>
      </c>
      <c r="B166" s="72">
        <v>600</v>
      </c>
      <c r="C166" s="72">
        <v>60016</v>
      </c>
      <c r="D166" s="93" t="s">
        <v>93</v>
      </c>
      <c r="E166" s="61" t="s">
        <v>17</v>
      </c>
      <c r="F166" s="64" t="s">
        <v>29</v>
      </c>
      <c r="G166" s="28">
        <v>9654</v>
      </c>
      <c r="H166" s="28">
        <v>45000</v>
      </c>
      <c r="I166" s="67">
        <f>SUM(K166:O166)+G166+H166</f>
        <v>179654</v>
      </c>
      <c r="J166" s="23" t="s">
        <v>19</v>
      </c>
      <c r="K166" s="25">
        <f>SUM(K167:K169)</f>
        <v>0</v>
      </c>
      <c r="L166" s="25">
        <f>SUM(L167:L169)</f>
        <v>50000</v>
      </c>
      <c r="M166" s="25">
        <f>SUM(M167:M169)</f>
        <v>50000</v>
      </c>
      <c r="N166" s="25">
        <f>SUM(N167:N169)</f>
        <v>0</v>
      </c>
      <c r="O166" s="25">
        <f>SUM(O167:O169)</f>
        <v>25000</v>
      </c>
    </row>
    <row r="167" spans="1:15" ht="12.75">
      <c r="A167" s="76"/>
      <c r="B167" s="73"/>
      <c r="C167" s="73"/>
      <c r="D167" s="94"/>
      <c r="E167" s="62"/>
      <c r="F167" s="70"/>
      <c r="G167" s="28"/>
      <c r="H167" s="28"/>
      <c r="I167" s="68"/>
      <c r="J167" s="26" t="s">
        <v>20</v>
      </c>
      <c r="K167" s="25"/>
      <c r="L167" s="25">
        <v>50000</v>
      </c>
      <c r="M167" s="25">
        <v>50000</v>
      </c>
      <c r="N167" s="25"/>
      <c r="O167" s="25">
        <v>25000</v>
      </c>
    </row>
    <row r="168" spans="1:15" ht="22.5">
      <c r="A168" s="76"/>
      <c r="B168" s="73"/>
      <c r="C168" s="73"/>
      <c r="D168" s="94"/>
      <c r="E168" s="62"/>
      <c r="F168" s="70"/>
      <c r="G168" s="28"/>
      <c r="H168" s="28"/>
      <c r="I168" s="68"/>
      <c r="J168" s="27" t="s">
        <v>21</v>
      </c>
      <c r="K168" s="25"/>
      <c r="L168" s="25"/>
      <c r="M168" s="25"/>
      <c r="N168" s="25"/>
      <c r="O168" s="25"/>
    </row>
    <row r="169" spans="1:15" ht="12.75">
      <c r="A169" s="77"/>
      <c r="B169" s="74"/>
      <c r="C169" s="74"/>
      <c r="D169" s="95"/>
      <c r="E169" s="63"/>
      <c r="F169" s="71"/>
      <c r="G169" s="28"/>
      <c r="H169" s="28"/>
      <c r="I169" s="69"/>
      <c r="J169" s="26" t="s">
        <v>22</v>
      </c>
      <c r="K169" s="25"/>
      <c r="L169" s="25"/>
      <c r="M169" s="25"/>
      <c r="N169" s="25"/>
      <c r="O169" s="25"/>
    </row>
    <row r="170" spans="1:15" ht="12.75" customHeight="1">
      <c r="A170" s="75">
        <v>14</v>
      </c>
      <c r="B170" s="72">
        <v>600</v>
      </c>
      <c r="C170" s="72">
        <v>60016</v>
      </c>
      <c r="D170" s="87" t="s">
        <v>94</v>
      </c>
      <c r="E170" s="61" t="s">
        <v>17</v>
      </c>
      <c r="F170" s="64"/>
      <c r="G170" s="28">
        <f>SUM(G174,G178,G182)</f>
        <v>53382</v>
      </c>
      <c r="H170" s="28">
        <f>SUM(H174,H178,H182)</f>
        <v>791000</v>
      </c>
      <c r="I170" s="67">
        <f>SUM(K170:O170)+G170+H170</f>
        <v>1894382</v>
      </c>
      <c r="J170" s="23" t="s">
        <v>19</v>
      </c>
      <c r="K170" s="25">
        <f>SUM(K171:K173)</f>
        <v>650000</v>
      </c>
      <c r="L170" s="25">
        <f>SUM(L171:L173)</f>
        <v>400000</v>
      </c>
      <c r="M170" s="25">
        <f>SUM(M171:M173)</f>
        <v>0</v>
      </c>
      <c r="N170" s="25">
        <f>SUM(N171:N173)</f>
        <v>0</v>
      </c>
      <c r="O170" s="25">
        <f>SUM(O171:O173)</f>
        <v>0</v>
      </c>
    </row>
    <row r="171" spans="1:15" ht="12.75" customHeight="1">
      <c r="A171" s="76"/>
      <c r="B171" s="73"/>
      <c r="C171" s="73"/>
      <c r="D171" s="88"/>
      <c r="E171" s="62"/>
      <c r="F171" s="70"/>
      <c r="G171" s="28"/>
      <c r="H171" s="28"/>
      <c r="I171" s="68"/>
      <c r="J171" s="26" t="s">
        <v>20</v>
      </c>
      <c r="K171" s="25">
        <f aca="true" t="shared" si="5" ref="K171:O173">K175+K179+K183</f>
        <v>650000</v>
      </c>
      <c r="L171" s="25">
        <f t="shared" si="5"/>
        <v>400000</v>
      </c>
      <c r="M171" s="25">
        <f t="shared" si="5"/>
        <v>0</v>
      </c>
      <c r="N171" s="25">
        <f t="shared" si="5"/>
        <v>0</v>
      </c>
      <c r="O171" s="25">
        <f t="shared" si="5"/>
        <v>0</v>
      </c>
    </row>
    <row r="172" spans="1:15" ht="36" customHeight="1">
      <c r="A172" s="76"/>
      <c r="B172" s="73"/>
      <c r="C172" s="73"/>
      <c r="D172" s="88"/>
      <c r="E172" s="62"/>
      <c r="F172" s="70"/>
      <c r="G172" s="28"/>
      <c r="H172" s="28"/>
      <c r="I172" s="68"/>
      <c r="J172" s="27" t="s">
        <v>21</v>
      </c>
      <c r="K172" s="25">
        <f t="shared" si="5"/>
        <v>0</v>
      </c>
      <c r="L172" s="25">
        <f t="shared" si="5"/>
        <v>0</v>
      </c>
      <c r="M172" s="25">
        <f t="shared" si="5"/>
        <v>0</v>
      </c>
      <c r="N172" s="25">
        <f t="shared" si="5"/>
        <v>0</v>
      </c>
      <c r="O172" s="25">
        <f t="shared" si="5"/>
        <v>0</v>
      </c>
    </row>
    <row r="173" spans="1:15" ht="22.5" customHeight="1">
      <c r="A173" s="77"/>
      <c r="B173" s="74"/>
      <c r="C173" s="74"/>
      <c r="D173" s="89"/>
      <c r="E173" s="63"/>
      <c r="F173" s="71"/>
      <c r="G173" s="28"/>
      <c r="H173" s="28"/>
      <c r="I173" s="69"/>
      <c r="J173" s="26" t="s">
        <v>22</v>
      </c>
      <c r="K173" s="25">
        <f t="shared" si="5"/>
        <v>0</v>
      </c>
      <c r="L173" s="25">
        <f t="shared" si="5"/>
        <v>0</v>
      </c>
      <c r="M173" s="25">
        <f t="shared" si="5"/>
        <v>0</v>
      </c>
      <c r="N173" s="25">
        <f t="shared" si="5"/>
        <v>0</v>
      </c>
      <c r="O173" s="25">
        <f t="shared" si="5"/>
        <v>0</v>
      </c>
    </row>
    <row r="174" spans="1:15" ht="12.75" customHeight="1">
      <c r="A174" s="75" t="s">
        <v>95</v>
      </c>
      <c r="B174" s="72">
        <v>600</v>
      </c>
      <c r="C174" s="72">
        <v>60016</v>
      </c>
      <c r="D174" s="99" t="s">
        <v>96</v>
      </c>
      <c r="E174" s="61" t="s">
        <v>17</v>
      </c>
      <c r="F174" s="64" t="s">
        <v>97</v>
      </c>
      <c r="G174" s="28">
        <v>17794</v>
      </c>
      <c r="H174" s="28">
        <v>320000</v>
      </c>
      <c r="I174" s="67">
        <f>SUM(K174:O174)+G174+H174</f>
        <v>487794</v>
      </c>
      <c r="J174" s="23" t="s">
        <v>19</v>
      </c>
      <c r="K174" s="24">
        <f>SUM(K175:K177)</f>
        <v>150000</v>
      </c>
      <c r="L174" s="25">
        <f>SUM(L175:L177)</f>
        <v>0</v>
      </c>
      <c r="M174" s="25">
        <f>SUM(M175:M177)</f>
        <v>0</v>
      </c>
      <c r="N174" s="25">
        <f>SUM(N175:N177)</f>
        <v>0</v>
      </c>
      <c r="O174" s="25">
        <f>SUM(O175:O177)</f>
        <v>0</v>
      </c>
    </row>
    <row r="175" spans="1:15" ht="12.75">
      <c r="A175" s="76"/>
      <c r="B175" s="73"/>
      <c r="C175" s="73"/>
      <c r="D175" s="100"/>
      <c r="E175" s="62"/>
      <c r="F175" s="70"/>
      <c r="G175" s="28"/>
      <c r="H175" s="28"/>
      <c r="I175" s="68"/>
      <c r="J175" s="26" t="s">
        <v>20</v>
      </c>
      <c r="K175" s="24">
        <v>150000</v>
      </c>
      <c r="L175" s="25"/>
      <c r="M175" s="25"/>
      <c r="N175" s="25"/>
      <c r="O175" s="25"/>
    </row>
    <row r="176" spans="1:15" ht="22.5">
      <c r="A176" s="76"/>
      <c r="B176" s="73"/>
      <c r="C176" s="73"/>
      <c r="D176" s="100"/>
      <c r="E176" s="62"/>
      <c r="F176" s="70"/>
      <c r="G176" s="28"/>
      <c r="H176" s="28"/>
      <c r="I176" s="68"/>
      <c r="J176" s="27" t="s">
        <v>21</v>
      </c>
      <c r="K176" s="24"/>
      <c r="L176" s="25"/>
      <c r="M176" s="25"/>
      <c r="N176" s="25"/>
      <c r="O176" s="25"/>
    </row>
    <row r="177" spans="1:15" ht="12.75">
      <c r="A177" s="77"/>
      <c r="B177" s="74"/>
      <c r="C177" s="74"/>
      <c r="D177" s="101"/>
      <c r="E177" s="63"/>
      <c r="F177" s="71"/>
      <c r="G177" s="28"/>
      <c r="H177" s="28"/>
      <c r="I177" s="69"/>
      <c r="J177" s="26" t="s">
        <v>22</v>
      </c>
      <c r="K177" s="24"/>
      <c r="L177" s="25"/>
      <c r="M177" s="25"/>
      <c r="N177" s="25"/>
      <c r="O177" s="25"/>
    </row>
    <row r="178" spans="1:15" ht="12.75" customHeight="1">
      <c r="A178" s="75" t="s">
        <v>98</v>
      </c>
      <c r="B178" s="72">
        <v>600</v>
      </c>
      <c r="C178" s="72">
        <v>60016</v>
      </c>
      <c r="D178" s="99" t="s">
        <v>99</v>
      </c>
      <c r="E178" s="61" t="s">
        <v>17</v>
      </c>
      <c r="F178" s="64" t="s">
        <v>97</v>
      </c>
      <c r="G178" s="28">
        <v>17794</v>
      </c>
      <c r="H178" s="28">
        <v>471000</v>
      </c>
      <c r="I178" s="67">
        <f>SUM(K178:O178)+G178+H178</f>
        <v>988794</v>
      </c>
      <c r="J178" s="23" t="s">
        <v>19</v>
      </c>
      <c r="K178" s="24">
        <f>SUM(K179:K181)</f>
        <v>500000</v>
      </c>
      <c r="L178" s="25">
        <f>SUM(L179:L181)</f>
        <v>0</v>
      </c>
      <c r="M178" s="25">
        <f>SUM(M179:M181)</f>
        <v>0</v>
      </c>
      <c r="N178" s="25">
        <f>SUM(N179:N181)</f>
        <v>0</v>
      </c>
      <c r="O178" s="25">
        <f>SUM(O179:O181)</f>
        <v>0</v>
      </c>
    </row>
    <row r="179" spans="1:15" ht="12.75">
      <c r="A179" s="76"/>
      <c r="B179" s="73"/>
      <c r="C179" s="73"/>
      <c r="D179" s="100"/>
      <c r="E179" s="62"/>
      <c r="F179" s="70"/>
      <c r="G179" s="28"/>
      <c r="H179" s="28"/>
      <c r="I179" s="68"/>
      <c r="J179" s="26" t="s">
        <v>20</v>
      </c>
      <c r="K179" s="24">
        <v>500000</v>
      </c>
      <c r="L179" s="25"/>
      <c r="M179" s="25"/>
      <c r="N179" s="25"/>
      <c r="O179" s="25"/>
    </row>
    <row r="180" spans="1:15" ht="22.5">
      <c r="A180" s="76"/>
      <c r="B180" s="73"/>
      <c r="C180" s="73"/>
      <c r="D180" s="100"/>
      <c r="E180" s="62"/>
      <c r="F180" s="70"/>
      <c r="G180" s="28"/>
      <c r="H180" s="28"/>
      <c r="I180" s="68"/>
      <c r="J180" s="27" t="s">
        <v>21</v>
      </c>
      <c r="K180" s="24"/>
      <c r="L180" s="25"/>
      <c r="M180" s="25"/>
      <c r="N180" s="25"/>
      <c r="O180" s="25"/>
    </row>
    <row r="181" spans="1:15" ht="12.75">
      <c r="A181" s="77"/>
      <c r="B181" s="74"/>
      <c r="C181" s="74"/>
      <c r="D181" s="101"/>
      <c r="E181" s="63"/>
      <c r="F181" s="71"/>
      <c r="G181" s="28"/>
      <c r="H181" s="28"/>
      <c r="I181" s="69"/>
      <c r="J181" s="26" t="s">
        <v>22</v>
      </c>
      <c r="K181" s="24"/>
      <c r="L181" s="25"/>
      <c r="M181" s="25"/>
      <c r="N181" s="25"/>
      <c r="O181" s="25"/>
    </row>
    <row r="182" spans="1:15" ht="12.75" customHeight="1">
      <c r="A182" s="75" t="s">
        <v>100</v>
      </c>
      <c r="B182" s="72">
        <v>600</v>
      </c>
      <c r="C182" s="72">
        <v>60016</v>
      </c>
      <c r="D182" s="99" t="s">
        <v>101</v>
      </c>
      <c r="E182" s="61" t="s">
        <v>17</v>
      </c>
      <c r="F182" s="64">
        <v>2010</v>
      </c>
      <c r="G182" s="28">
        <v>17794</v>
      </c>
      <c r="H182" s="28">
        <v>0</v>
      </c>
      <c r="I182" s="67">
        <f>SUM(K182:O182)+G182+H182</f>
        <v>417794</v>
      </c>
      <c r="J182" s="23" t="s">
        <v>19</v>
      </c>
      <c r="K182" s="25">
        <f>SUM(K183:K185)</f>
        <v>0</v>
      </c>
      <c r="L182" s="25">
        <f>SUM(L183:L185)</f>
        <v>400000</v>
      </c>
      <c r="M182" s="25">
        <f>SUM(M183:M185)</f>
        <v>0</v>
      </c>
      <c r="N182" s="25">
        <f>SUM(N183:N185)</f>
        <v>0</v>
      </c>
      <c r="O182" s="25">
        <f>SUM(O183:O185)</f>
        <v>0</v>
      </c>
    </row>
    <row r="183" spans="1:15" ht="12.75">
      <c r="A183" s="76"/>
      <c r="B183" s="73"/>
      <c r="C183" s="73"/>
      <c r="D183" s="100"/>
      <c r="E183" s="62"/>
      <c r="F183" s="70"/>
      <c r="G183" s="28"/>
      <c r="H183" s="28"/>
      <c r="I183" s="68"/>
      <c r="J183" s="26" t="s">
        <v>20</v>
      </c>
      <c r="K183" s="25"/>
      <c r="L183" s="25">
        <v>400000</v>
      </c>
      <c r="M183" s="25"/>
      <c r="N183" s="25"/>
      <c r="O183" s="25"/>
    </row>
    <row r="184" spans="1:15" ht="22.5">
      <c r="A184" s="76"/>
      <c r="B184" s="73"/>
      <c r="C184" s="73"/>
      <c r="D184" s="100"/>
      <c r="E184" s="62"/>
      <c r="F184" s="70"/>
      <c r="G184" s="28"/>
      <c r="H184" s="28"/>
      <c r="I184" s="68"/>
      <c r="J184" s="27" t="s">
        <v>21</v>
      </c>
      <c r="K184" s="25"/>
      <c r="L184" s="25"/>
      <c r="M184" s="25"/>
      <c r="N184" s="25"/>
      <c r="O184" s="25"/>
    </row>
    <row r="185" spans="1:15" ht="12.75">
      <c r="A185" s="77"/>
      <c r="B185" s="74"/>
      <c r="C185" s="74"/>
      <c r="D185" s="101"/>
      <c r="E185" s="63"/>
      <c r="F185" s="71"/>
      <c r="G185" s="28"/>
      <c r="H185" s="28"/>
      <c r="I185" s="69"/>
      <c r="J185" s="26" t="s">
        <v>22</v>
      </c>
      <c r="K185" s="25"/>
      <c r="L185" s="25"/>
      <c r="M185" s="25"/>
      <c r="N185" s="25"/>
      <c r="O185" s="25"/>
    </row>
    <row r="186" spans="1:15" ht="12.75" customHeight="1">
      <c r="A186" s="75">
        <v>15</v>
      </c>
      <c r="B186" s="72">
        <v>600</v>
      </c>
      <c r="C186" s="72">
        <v>60095</v>
      </c>
      <c r="D186" s="87" t="s">
        <v>102</v>
      </c>
      <c r="E186" s="61" t="s">
        <v>17</v>
      </c>
      <c r="F186" s="64" t="s">
        <v>103</v>
      </c>
      <c r="G186" s="28">
        <v>0</v>
      </c>
      <c r="H186" s="28">
        <v>0</v>
      </c>
      <c r="I186" s="67">
        <f>SUM(K186:O186)+G186+H186</f>
        <v>1000000</v>
      </c>
      <c r="J186" s="23" t="s">
        <v>19</v>
      </c>
      <c r="K186" s="24">
        <f>SUM(K187:K189)</f>
        <v>150000</v>
      </c>
      <c r="L186" s="25">
        <f>SUM(L187:L189)</f>
        <v>850000</v>
      </c>
      <c r="M186" s="25">
        <f>SUM(M187:M189)</f>
        <v>0</v>
      </c>
      <c r="N186" s="25">
        <f>SUM(N187:N189)</f>
        <v>0</v>
      </c>
      <c r="O186" s="25">
        <f>SUM(O187:O189)</f>
        <v>0</v>
      </c>
    </row>
    <row r="187" spans="1:15" ht="12.75">
      <c r="A187" s="76"/>
      <c r="B187" s="73"/>
      <c r="C187" s="73"/>
      <c r="D187" s="88"/>
      <c r="E187" s="62"/>
      <c r="F187" s="70"/>
      <c r="G187" s="28"/>
      <c r="H187" s="28"/>
      <c r="I187" s="68"/>
      <c r="J187" s="26" t="s">
        <v>20</v>
      </c>
      <c r="K187" s="24">
        <v>150000</v>
      </c>
      <c r="L187" s="25">
        <v>850000</v>
      </c>
      <c r="M187" s="25"/>
      <c r="N187" s="25"/>
      <c r="O187" s="25"/>
    </row>
    <row r="188" spans="1:15" ht="22.5">
      <c r="A188" s="76"/>
      <c r="B188" s="73"/>
      <c r="C188" s="73"/>
      <c r="D188" s="88"/>
      <c r="E188" s="62"/>
      <c r="F188" s="70"/>
      <c r="G188" s="28"/>
      <c r="H188" s="28"/>
      <c r="I188" s="68"/>
      <c r="J188" s="27" t="s">
        <v>21</v>
      </c>
      <c r="K188" s="24"/>
      <c r="L188" s="25"/>
      <c r="M188" s="25"/>
      <c r="N188" s="25"/>
      <c r="O188" s="25"/>
    </row>
    <row r="189" spans="1:15" ht="22.5" customHeight="1">
      <c r="A189" s="77"/>
      <c r="B189" s="74"/>
      <c r="C189" s="74"/>
      <c r="D189" s="89"/>
      <c r="E189" s="63"/>
      <c r="F189" s="71"/>
      <c r="G189" s="28"/>
      <c r="H189" s="28"/>
      <c r="I189" s="69"/>
      <c r="J189" s="26" t="s">
        <v>22</v>
      </c>
      <c r="K189" s="24"/>
      <c r="L189" s="25"/>
      <c r="M189" s="25"/>
      <c r="N189" s="25"/>
      <c r="O189" s="25"/>
    </row>
    <row r="190" spans="1:15" ht="12.75" customHeight="1">
      <c r="A190" s="75">
        <v>16</v>
      </c>
      <c r="B190" s="72">
        <v>630</v>
      </c>
      <c r="C190" s="72">
        <v>63095</v>
      </c>
      <c r="D190" s="87" t="s">
        <v>104</v>
      </c>
      <c r="E190" s="61" t="s">
        <v>17</v>
      </c>
      <c r="F190" s="64" t="s">
        <v>105</v>
      </c>
      <c r="G190" s="28">
        <v>400</v>
      </c>
      <c r="H190" s="28">
        <v>48750</v>
      </c>
      <c r="I190" s="67">
        <f>SUM(K190:O190)+G190+H190</f>
        <v>1374150</v>
      </c>
      <c r="J190" s="23" t="s">
        <v>19</v>
      </c>
      <c r="K190" s="24">
        <f>SUM(K191:K193)</f>
        <v>1000000</v>
      </c>
      <c r="L190" s="25">
        <f>SUM(L191:L193)</f>
        <v>325000</v>
      </c>
      <c r="M190" s="25">
        <f>SUM(M191:M193)</f>
        <v>0</v>
      </c>
      <c r="N190" s="25">
        <f>SUM(N191:N193)</f>
        <v>0</v>
      </c>
      <c r="O190" s="25">
        <f>SUM(O191:O193)</f>
        <v>0</v>
      </c>
    </row>
    <row r="191" spans="1:15" ht="12.75">
      <c r="A191" s="76"/>
      <c r="B191" s="73"/>
      <c r="C191" s="73"/>
      <c r="D191" s="88"/>
      <c r="E191" s="62"/>
      <c r="F191" s="70"/>
      <c r="G191" s="28"/>
      <c r="H191" s="28"/>
      <c r="I191" s="68"/>
      <c r="J191" s="26" t="s">
        <v>20</v>
      </c>
      <c r="K191" s="24">
        <v>150000</v>
      </c>
      <c r="L191" s="25">
        <v>48750</v>
      </c>
      <c r="M191" s="25"/>
      <c r="N191" s="25"/>
      <c r="O191" s="25"/>
    </row>
    <row r="192" spans="1:15" ht="22.5">
      <c r="A192" s="76"/>
      <c r="B192" s="73"/>
      <c r="C192" s="73"/>
      <c r="D192" s="88"/>
      <c r="E192" s="62"/>
      <c r="F192" s="70"/>
      <c r="G192" s="28"/>
      <c r="H192" s="28"/>
      <c r="I192" s="68"/>
      <c r="J192" s="27" t="s">
        <v>21</v>
      </c>
      <c r="K192" s="24"/>
      <c r="L192" s="25"/>
      <c r="M192" s="25"/>
      <c r="N192" s="25"/>
      <c r="O192" s="25"/>
    </row>
    <row r="193" spans="1:15" ht="22.5" customHeight="1">
      <c r="A193" s="77"/>
      <c r="B193" s="74"/>
      <c r="C193" s="74"/>
      <c r="D193" s="89"/>
      <c r="E193" s="63"/>
      <c r="F193" s="71"/>
      <c r="G193" s="28"/>
      <c r="H193" s="28"/>
      <c r="I193" s="69"/>
      <c r="J193" s="26" t="s">
        <v>22</v>
      </c>
      <c r="K193" s="24">
        <v>850000</v>
      </c>
      <c r="L193" s="25">
        <v>276250</v>
      </c>
      <c r="M193" s="25"/>
      <c r="N193" s="25"/>
      <c r="O193" s="25"/>
    </row>
    <row r="194" spans="1:15" ht="14.25" customHeight="1">
      <c r="A194" s="75">
        <v>17</v>
      </c>
      <c r="B194" s="72">
        <v>630</v>
      </c>
      <c r="C194" s="72">
        <v>63095</v>
      </c>
      <c r="D194" s="81" t="s">
        <v>106</v>
      </c>
      <c r="E194" s="96" t="s">
        <v>164</v>
      </c>
      <c r="F194" s="64" t="s">
        <v>107</v>
      </c>
      <c r="G194" s="28">
        <v>0</v>
      </c>
      <c r="H194" s="28">
        <v>0</v>
      </c>
      <c r="I194" s="67">
        <f>SUM(K194:O194)+G194+H194</f>
        <v>9799000</v>
      </c>
      <c r="J194" s="23" t="s">
        <v>19</v>
      </c>
      <c r="K194" s="59">
        <f>SUM(K195:K197)</f>
        <v>0</v>
      </c>
      <c r="L194" s="25">
        <f>SUM(L195:L197)</f>
        <v>4399500</v>
      </c>
      <c r="M194" s="25">
        <f>SUM(M195:M197)</f>
        <v>5399500</v>
      </c>
      <c r="N194" s="25">
        <f>SUM(N195:N197)</f>
        <v>0</v>
      </c>
      <c r="O194" s="25">
        <f>SUM(O195:O197)</f>
        <v>0</v>
      </c>
    </row>
    <row r="195" spans="1:15" ht="12.75" customHeight="1">
      <c r="A195" s="76"/>
      <c r="B195" s="73"/>
      <c r="C195" s="73"/>
      <c r="D195" s="82"/>
      <c r="E195" s="97"/>
      <c r="F195" s="70"/>
      <c r="G195" s="28"/>
      <c r="H195" s="28"/>
      <c r="I195" s="68"/>
      <c r="J195" s="26" t="s">
        <v>20</v>
      </c>
      <c r="K195" s="59"/>
      <c r="L195" s="25">
        <f>4399500*0.4</f>
        <v>1759800</v>
      </c>
      <c r="M195" s="25">
        <f>5399500*0.4</f>
        <v>2159800</v>
      </c>
      <c r="N195" s="25"/>
      <c r="O195" s="25"/>
    </row>
    <row r="196" spans="1:15" ht="36" customHeight="1">
      <c r="A196" s="76"/>
      <c r="B196" s="73"/>
      <c r="C196" s="73"/>
      <c r="D196" s="82"/>
      <c r="E196" s="97"/>
      <c r="F196" s="70"/>
      <c r="G196" s="28"/>
      <c r="H196" s="28"/>
      <c r="I196" s="68"/>
      <c r="J196" s="27" t="s">
        <v>21</v>
      </c>
      <c r="K196" s="59"/>
      <c r="L196" s="25"/>
      <c r="M196" s="25"/>
      <c r="N196" s="25"/>
      <c r="O196" s="25"/>
    </row>
    <row r="197" spans="1:15" ht="12.75" customHeight="1">
      <c r="A197" s="77"/>
      <c r="B197" s="74"/>
      <c r="C197" s="74"/>
      <c r="D197" s="83"/>
      <c r="E197" s="98"/>
      <c r="F197" s="71"/>
      <c r="G197" s="28"/>
      <c r="H197" s="28"/>
      <c r="I197" s="69"/>
      <c r="J197" s="26" t="s">
        <v>22</v>
      </c>
      <c r="K197" s="59"/>
      <c r="L197" s="25">
        <f>4399500*0.6</f>
        <v>2639700</v>
      </c>
      <c r="M197" s="25">
        <f>5399500*0.6</f>
        <v>3239700</v>
      </c>
      <c r="N197" s="25"/>
      <c r="O197" s="25"/>
    </row>
    <row r="198" spans="1:15" ht="12.75" customHeight="1">
      <c r="A198" s="75">
        <v>18</v>
      </c>
      <c r="B198" s="72">
        <v>600</v>
      </c>
      <c r="C198" s="72">
        <v>60041</v>
      </c>
      <c r="D198" s="87" t="s">
        <v>108</v>
      </c>
      <c r="E198" s="61" t="s">
        <v>17</v>
      </c>
      <c r="F198" s="64" t="s">
        <v>37</v>
      </c>
      <c r="G198" s="28">
        <v>28920</v>
      </c>
      <c r="H198" s="28">
        <v>10000</v>
      </c>
      <c r="I198" s="67">
        <f>SUM(K198:O198)+G198+H198</f>
        <v>68920</v>
      </c>
      <c r="J198" s="23" t="s">
        <v>19</v>
      </c>
      <c r="K198" s="24">
        <f>SUM(K199:K201)</f>
        <v>30000</v>
      </c>
      <c r="L198" s="25">
        <f>SUM(L199:L201)</f>
        <v>0</v>
      </c>
      <c r="M198" s="25">
        <f>SUM(M199:M201)</f>
        <v>0</v>
      </c>
      <c r="N198" s="25">
        <f>SUM(N199:N201)</f>
        <v>0</v>
      </c>
      <c r="O198" s="25">
        <f>SUM(O199:O201)</f>
        <v>0</v>
      </c>
    </row>
    <row r="199" spans="1:15" ht="22.5" customHeight="1">
      <c r="A199" s="76"/>
      <c r="B199" s="73"/>
      <c r="C199" s="73"/>
      <c r="D199" s="88"/>
      <c r="E199" s="62"/>
      <c r="F199" s="70"/>
      <c r="G199" s="28"/>
      <c r="H199" s="28"/>
      <c r="I199" s="68"/>
      <c r="J199" s="26" t="s">
        <v>20</v>
      </c>
      <c r="K199" s="24">
        <v>30000</v>
      </c>
      <c r="L199" s="25"/>
      <c r="M199" s="25"/>
      <c r="N199" s="25"/>
      <c r="O199" s="25"/>
    </row>
    <row r="200" spans="1:15" ht="36" customHeight="1">
      <c r="A200" s="76"/>
      <c r="B200" s="73"/>
      <c r="C200" s="73"/>
      <c r="D200" s="88"/>
      <c r="E200" s="62"/>
      <c r="F200" s="70"/>
      <c r="G200" s="28"/>
      <c r="H200" s="28"/>
      <c r="I200" s="68"/>
      <c r="J200" s="27" t="s">
        <v>21</v>
      </c>
      <c r="K200" s="24"/>
      <c r="L200" s="25"/>
      <c r="M200" s="25"/>
      <c r="N200" s="25"/>
      <c r="O200" s="25"/>
    </row>
    <row r="201" spans="1:15" ht="12.75" customHeight="1">
      <c r="A201" s="77"/>
      <c r="B201" s="74"/>
      <c r="C201" s="74"/>
      <c r="D201" s="89"/>
      <c r="E201" s="63"/>
      <c r="F201" s="71"/>
      <c r="G201" s="28"/>
      <c r="H201" s="28"/>
      <c r="I201" s="69"/>
      <c r="J201" s="26" t="s">
        <v>22</v>
      </c>
      <c r="K201" s="24"/>
      <c r="L201" s="25"/>
      <c r="M201" s="25"/>
      <c r="N201" s="25"/>
      <c r="O201" s="25"/>
    </row>
    <row r="202" spans="1:15" ht="12.75" customHeight="1">
      <c r="A202" s="75">
        <v>19</v>
      </c>
      <c r="B202" s="72">
        <v>600</v>
      </c>
      <c r="C202" s="72">
        <v>60016</v>
      </c>
      <c r="D202" s="87" t="s">
        <v>109</v>
      </c>
      <c r="E202" s="61" t="s">
        <v>17</v>
      </c>
      <c r="F202" s="72" t="s">
        <v>105</v>
      </c>
      <c r="G202" s="22">
        <v>62390</v>
      </c>
      <c r="H202" s="22">
        <v>160000</v>
      </c>
      <c r="I202" s="67">
        <f>SUM(K202:O202)+G202+H202</f>
        <v>7142390</v>
      </c>
      <c r="J202" s="23" t="s">
        <v>19</v>
      </c>
      <c r="K202" s="24">
        <f>SUM(K203:K205)</f>
        <v>4020000</v>
      </c>
      <c r="L202" s="25">
        <f>SUM(L203:L205)</f>
        <v>2900000</v>
      </c>
      <c r="M202" s="25">
        <f>SUM(M203:M205)</f>
        <v>0</v>
      </c>
      <c r="N202" s="25">
        <f>SUM(N203:N205)</f>
        <v>0</v>
      </c>
      <c r="O202" s="25">
        <f>SUM(O203:O205)</f>
        <v>0</v>
      </c>
    </row>
    <row r="203" spans="1:15" ht="12.75" customHeight="1">
      <c r="A203" s="76"/>
      <c r="B203" s="73"/>
      <c r="C203" s="73"/>
      <c r="D203" s="88"/>
      <c r="E203" s="62"/>
      <c r="F203" s="73"/>
      <c r="G203" s="22"/>
      <c r="H203" s="22"/>
      <c r="I203" s="68"/>
      <c r="J203" s="26" t="s">
        <v>20</v>
      </c>
      <c r="K203" s="24">
        <f>505000+505000+1000000</f>
        <v>2010000</v>
      </c>
      <c r="L203" s="25">
        <f>725000+725000</f>
        <v>1450000</v>
      </c>
      <c r="M203" s="25"/>
      <c r="N203" s="25"/>
      <c r="O203" s="25"/>
    </row>
    <row r="204" spans="1:15" ht="36" customHeight="1">
      <c r="A204" s="76"/>
      <c r="B204" s="73"/>
      <c r="C204" s="73"/>
      <c r="D204" s="88"/>
      <c r="E204" s="62"/>
      <c r="F204" s="73"/>
      <c r="G204" s="22"/>
      <c r="H204" s="22"/>
      <c r="I204" s="68"/>
      <c r="J204" s="27" t="s">
        <v>21</v>
      </c>
      <c r="K204" s="24"/>
      <c r="L204" s="25"/>
      <c r="M204" s="25"/>
      <c r="N204" s="25"/>
      <c r="O204" s="25"/>
    </row>
    <row r="205" spans="1:15" ht="12.75" customHeight="1">
      <c r="A205" s="77"/>
      <c r="B205" s="74"/>
      <c r="C205" s="74"/>
      <c r="D205" s="89"/>
      <c r="E205" s="63"/>
      <c r="F205" s="74"/>
      <c r="G205" s="22"/>
      <c r="H205" s="22"/>
      <c r="I205" s="69"/>
      <c r="J205" s="26" t="s">
        <v>22</v>
      </c>
      <c r="K205" s="24">
        <f>1515000-505000+1000000</f>
        <v>2010000</v>
      </c>
      <c r="L205" s="25">
        <f>2175000-725000</f>
        <v>1450000</v>
      </c>
      <c r="M205" s="25"/>
      <c r="N205" s="25"/>
      <c r="O205" s="25"/>
    </row>
    <row r="206" spans="1:15" ht="12.75" customHeight="1">
      <c r="A206" s="75">
        <v>20</v>
      </c>
      <c r="B206" s="72">
        <v>630</v>
      </c>
      <c r="C206" s="72">
        <v>63095</v>
      </c>
      <c r="D206" s="78" t="s">
        <v>156</v>
      </c>
      <c r="E206" s="61" t="s">
        <v>17</v>
      </c>
      <c r="F206" s="72" t="s">
        <v>54</v>
      </c>
      <c r="G206" s="22">
        <v>35380</v>
      </c>
      <c r="H206" s="22">
        <v>12940</v>
      </c>
      <c r="I206" s="67">
        <f>SUM(K206:O206)+G206+H206</f>
        <v>2898320</v>
      </c>
      <c r="J206" s="23" t="s">
        <v>19</v>
      </c>
      <c r="K206" s="24">
        <f>SUM(K207:K209)</f>
        <v>1425000</v>
      </c>
      <c r="L206" s="25">
        <f>SUM(L207:L209)</f>
        <v>1425000</v>
      </c>
      <c r="M206" s="25">
        <f>SUM(M207:M209)</f>
        <v>0</v>
      </c>
      <c r="N206" s="25">
        <f>SUM(N207:N209)</f>
        <v>0</v>
      </c>
      <c r="O206" s="25">
        <f>SUM(O207:O209)</f>
        <v>0</v>
      </c>
    </row>
    <row r="207" spans="1:15" ht="12.75" customHeight="1">
      <c r="A207" s="76"/>
      <c r="B207" s="73"/>
      <c r="C207" s="73"/>
      <c r="D207" s="79"/>
      <c r="E207" s="62"/>
      <c r="F207" s="73"/>
      <c r="G207" s="22"/>
      <c r="H207" s="22"/>
      <c r="I207" s="68"/>
      <c r="J207" s="26" t="s">
        <v>20</v>
      </c>
      <c r="K207" s="24">
        <f>1425000*0.25</f>
        <v>356250</v>
      </c>
      <c r="L207" s="25">
        <f>1425000*0.25</f>
        <v>356250</v>
      </c>
      <c r="M207" s="25"/>
      <c r="N207" s="25"/>
      <c r="O207" s="25"/>
    </row>
    <row r="208" spans="1:15" ht="36" customHeight="1">
      <c r="A208" s="76"/>
      <c r="B208" s="73"/>
      <c r="C208" s="73"/>
      <c r="D208" s="79"/>
      <c r="E208" s="62"/>
      <c r="F208" s="73"/>
      <c r="G208" s="22"/>
      <c r="H208" s="22"/>
      <c r="I208" s="68"/>
      <c r="J208" s="27" t="s">
        <v>21</v>
      </c>
      <c r="K208" s="24"/>
      <c r="L208" s="25"/>
      <c r="M208" s="25"/>
      <c r="N208" s="25"/>
      <c r="O208" s="25"/>
    </row>
    <row r="209" spans="1:15" ht="12.75" customHeight="1">
      <c r="A209" s="77"/>
      <c r="B209" s="74"/>
      <c r="C209" s="74"/>
      <c r="D209" s="80"/>
      <c r="E209" s="63"/>
      <c r="F209" s="74"/>
      <c r="G209" s="22"/>
      <c r="H209" s="22"/>
      <c r="I209" s="69"/>
      <c r="J209" s="26" t="s">
        <v>22</v>
      </c>
      <c r="K209" s="24">
        <f>1425000*0.75</f>
        <v>1068750</v>
      </c>
      <c r="L209" s="25">
        <f>1425000*0.75</f>
        <v>1068750</v>
      </c>
      <c r="M209" s="25"/>
      <c r="N209" s="25"/>
      <c r="O209" s="25"/>
    </row>
    <row r="210" spans="1:15" ht="12.75" customHeight="1">
      <c r="A210" s="75">
        <v>21</v>
      </c>
      <c r="B210" s="72">
        <v>630</v>
      </c>
      <c r="C210" s="72">
        <v>63095</v>
      </c>
      <c r="D210" s="78" t="s">
        <v>157</v>
      </c>
      <c r="E210" s="61" t="s">
        <v>17</v>
      </c>
      <c r="F210" s="72" t="s">
        <v>103</v>
      </c>
      <c r="G210" s="22">
        <v>0</v>
      </c>
      <c r="H210" s="22">
        <v>20000</v>
      </c>
      <c r="I210" s="67">
        <f>SUM(K210:O210)+G210+H210</f>
        <v>1720000</v>
      </c>
      <c r="J210" s="23" t="s">
        <v>19</v>
      </c>
      <c r="K210" s="24">
        <f>SUM(K211:K213)</f>
        <v>850000</v>
      </c>
      <c r="L210" s="25">
        <f>SUM(L211:L213)</f>
        <v>850000</v>
      </c>
      <c r="M210" s="25">
        <f>SUM(M211:M213)</f>
        <v>0</v>
      </c>
      <c r="N210" s="25">
        <f>SUM(N211:N213)</f>
        <v>0</v>
      </c>
      <c r="O210" s="25">
        <f>SUM(O211:O213)</f>
        <v>0</v>
      </c>
    </row>
    <row r="211" spans="1:15" ht="12.75" customHeight="1">
      <c r="A211" s="76"/>
      <c r="B211" s="73"/>
      <c r="C211" s="73"/>
      <c r="D211" s="79"/>
      <c r="E211" s="62"/>
      <c r="F211" s="73"/>
      <c r="G211" s="22"/>
      <c r="H211" s="22"/>
      <c r="I211" s="68"/>
      <c r="J211" s="26" t="s">
        <v>20</v>
      </c>
      <c r="K211" s="24">
        <v>212500</v>
      </c>
      <c r="L211" s="25">
        <v>212500</v>
      </c>
      <c r="M211" s="25"/>
      <c r="N211" s="25"/>
      <c r="O211" s="25"/>
    </row>
    <row r="212" spans="1:15" ht="36" customHeight="1">
      <c r="A212" s="76"/>
      <c r="B212" s="73"/>
      <c r="C212" s="73"/>
      <c r="D212" s="79"/>
      <c r="E212" s="62"/>
      <c r="F212" s="73"/>
      <c r="G212" s="22"/>
      <c r="H212" s="22"/>
      <c r="I212" s="68"/>
      <c r="J212" s="27" t="s">
        <v>21</v>
      </c>
      <c r="K212" s="24"/>
      <c r="L212" s="25"/>
      <c r="M212" s="25"/>
      <c r="N212" s="25"/>
      <c r="O212" s="25"/>
    </row>
    <row r="213" spans="1:15" ht="12.75" customHeight="1">
      <c r="A213" s="77"/>
      <c r="B213" s="74"/>
      <c r="C213" s="74"/>
      <c r="D213" s="80"/>
      <c r="E213" s="63"/>
      <c r="F213" s="74"/>
      <c r="G213" s="22"/>
      <c r="H213" s="22"/>
      <c r="I213" s="69"/>
      <c r="J213" s="26" t="s">
        <v>22</v>
      </c>
      <c r="K213" s="24">
        <v>637500</v>
      </c>
      <c r="L213" s="25">
        <v>637500</v>
      </c>
      <c r="M213" s="25"/>
      <c r="N213" s="25"/>
      <c r="O213" s="25"/>
    </row>
    <row r="214" spans="1:15" ht="12.75" customHeight="1">
      <c r="A214" s="75">
        <v>22</v>
      </c>
      <c r="B214" s="72">
        <v>600</v>
      </c>
      <c r="C214" s="72">
        <v>60041</v>
      </c>
      <c r="D214" s="78" t="s">
        <v>158</v>
      </c>
      <c r="E214" s="61" t="s">
        <v>17</v>
      </c>
      <c r="F214" s="72" t="s">
        <v>107</v>
      </c>
      <c r="G214" s="22">
        <v>170840</v>
      </c>
      <c r="H214" s="22">
        <v>991176</v>
      </c>
      <c r="I214" s="67">
        <f>SUM(K214:O214)+G214+H214</f>
        <v>44606058.88</v>
      </c>
      <c r="J214" s="23" t="s">
        <v>19</v>
      </c>
      <c r="K214" s="24">
        <f>SUM(K215:K217)</f>
        <v>10000000</v>
      </c>
      <c r="L214" s="25">
        <f>SUM(L215:L217)</f>
        <v>19595551</v>
      </c>
      <c r="M214" s="25">
        <f>SUM(M215:M217)</f>
        <v>13848491.880000003</v>
      </c>
      <c r="N214" s="25">
        <f>SUM(N215:N217)</f>
        <v>0</v>
      </c>
      <c r="O214" s="25">
        <f>SUM(O215:O217)</f>
        <v>0</v>
      </c>
    </row>
    <row r="215" spans="1:15" ht="12.75" customHeight="1">
      <c r="A215" s="76"/>
      <c r="B215" s="73"/>
      <c r="C215" s="73"/>
      <c r="D215" s="79"/>
      <c r="E215" s="62"/>
      <c r="F215" s="73"/>
      <c r="G215" s="22"/>
      <c r="H215" s="22"/>
      <c r="I215" s="68"/>
      <c r="J215" s="26" t="s">
        <v>20</v>
      </c>
      <c r="K215" s="24">
        <f>10000000*0.45</f>
        <v>4500000</v>
      </c>
      <c r="L215" s="25">
        <f>19595551*0.45</f>
        <v>8817997.950000001</v>
      </c>
      <c r="M215" s="25">
        <f>13848491.88*0.45-5776.42</f>
        <v>6226044.926000001</v>
      </c>
      <c r="N215" s="25"/>
      <c r="O215" s="25"/>
    </row>
    <row r="216" spans="1:15" ht="36" customHeight="1">
      <c r="A216" s="76"/>
      <c r="B216" s="73"/>
      <c r="C216" s="73"/>
      <c r="D216" s="79"/>
      <c r="E216" s="62"/>
      <c r="F216" s="73"/>
      <c r="G216" s="22"/>
      <c r="H216" s="22"/>
      <c r="I216" s="68"/>
      <c r="J216" s="27" t="s">
        <v>21</v>
      </c>
      <c r="K216" s="24"/>
      <c r="L216" s="25"/>
      <c r="M216" s="25"/>
      <c r="N216" s="25"/>
      <c r="O216" s="25"/>
    </row>
    <row r="217" spans="1:16" ht="12.75" customHeight="1">
      <c r="A217" s="77"/>
      <c r="B217" s="74"/>
      <c r="C217" s="74"/>
      <c r="D217" s="80"/>
      <c r="E217" s="63"/>
      <c r="F217" s="74"/>
      <c r="G217" s="22"/>
      <c r="H217" s="22"/>
      <c r="I217" s="69"/>
      <c r="J217" s="26" t="s">
        <v>22</v>
      </c>
      <c r="K217" s="24">
        <f>10000000*0.55</f>
        <v>5500000</v>
      </c>
      <c r="L217" s="25">
        <f>19595551*0.55</f>
        <v>10777553.05</v>
      </c>
      <c r="M217" s="25">
        <f>13848491.88*0.55+5776.42</f>
        <v>7622446.954000001</v>
      </c>
      <c r="N217" s="25"/>
      <c r="O217" s="25"/>
      <c r="P217" s="3"/>
    </row>
    <row r="218" spans="1:15" ht="12.75" customHeight="1">
      <c r="A218" s="75">
        <v>23</v>
      </c>
      <c r="B218" s="72">
        <v>600</v>
      </c>
      <c r="C218" s="72">
        <v>60041</v>
      </c>
      <c r="D218" s="78" t="s">
        <v>110</v>
      </c>
      <c r="E218" s="61" t="s">
        <v>17</v>
      </c>
      <c r="F218" s="72" t="s">
        <v>107</v>
      </c>
      <c r="G218" s="22">
        <v>219600</v>
      </c>
      <c r="H218" s="22">
        <v>341176</v>
      </c>
      <c r="I218" s="67">
        <f>SUM(K218:O218)+G218+H218</f>
        <v>53651774.92</v>
      </c>
      <c r="J218" s="23" t="s">
        <v>19</v>
      </c>
      <c r="K218" s="24">
        <f>SUM(K219:K221)</f>
        <v>11500000</v>
      </c>
      <c r="L218" s="25">
        <f>SUM(L219:L221)</f>
        <v>24091088</v>
      </c>
      <c r="M218" s="25">
        <f>SUM(M219:M221)</f>
        <v>17499910.92</v>
      </c>
      <c r="N218" s="25">
        <f>SUM(N219:N221)</f>
        <v>0</v>
      </c>
      <c r="O218" s="25">
        <f>SUM(O219:O221)</f>
        <v>0</v>
      </c>
    </row>
    <row r="219" spans="1:15" ht="12.75" customHeight="1">
      <c r="A219" s="76"/>
      <c r="B219" s="73"/>
      <c r="C219" s="73"/>
      <c r="D219" s="79"/>
      <c r="E219" s="62"/>
      <c r="F219" s="73"/>
      <c r="G219" s="22"/>
      <c r="H219" s="22"/>
      <c r="I219" s="68"/>
      <c r="J219" s="26" t="s">
        <v>20</v>
      </c>
      <c r="K219" s="24">
        <f>11500000*0.437</f>
        <v>5025500</v>
      </c>
      <c r="L219" s="25">
        <f>24091088*0.437</f>
        <v>10527805.456</v>
      </c>
      <c r="M219" s="25">
        <f>17499910.92*0.437+10232.39</f>
        <v>7657693.462040001</v>
      </c>
      <c r="N219" s="25"/>
      <c r="O219" s="25"/>
    </row>
    <row r="220" spans="1:15" ht="36" customHeight="1">
      <c r="A220" s="76"/>
      <c r="B220" s="73"/>
      <c r="C220" s="73"/>
      <c r="D220" s="79"/>
      <c r="E220" s="62"/>
      <c r="F220" s="73"/>
      <c r="G220" s="22"/>
      <c r="H220" s="22"/>
      <c r="I220" s="68"/>
      <c r="J220" s="27" t="s">
        <v>21</v>
      </c>
      <c r="K220" s="24"/>
      <c r="L220" s="25"/>
      <c r="M220" s="25"/>
      <c r="N220" s="25"/>
      <c r="O220" s="25"/>
    </row>
    <row r="221" spans="1:16" ht="15.75" customHeight="1">
      <c r="A221" s="77"/>
      <c r="B221" s="74"/>
      <c r="C221" s="74"/>
      <c r="D221" s="80"/>
      <c r="E221" s="63"/>
      <c r="F221" s="74"/>
      <c r="G221" s="22"/>
      <c r="H221" s="22"/>
      <c r="I221" s="69"/>
      <c r="J221" s="26" t="s">
        <v>22</v>
      </c>
      <c r="K221" s="24">
        <f>11500000*0.563</f>
        <v>6474499.999999999</v>
      </c>
      <c r="L221" s="25">
        <f>24091088*0.563</f>
        <v>13563282.543999998</v>
      </c>
      <c r="M221" s="25">
        <f>17499910.92*0.563-10232.39</f>
        <v>9842217.45796</v>
      </c>
      <c r="N221" s="25"/>
      <c r="O221" s="25"/>
      <c r="P221" s="3"/>
    </row>
    <row r="222" spans="1:15" ht="22.5" customHeight="1">
      <c r="A222" s="75">
        <v>24</v>
      </c>
      <c r="B222" s="72">
        <v>600</v>
      </c>
      <c r="C222" s="72">
        <v>60041</v>
      </c>
      <c r="D222" s="78" t="s">
        <v>111</v>
      </c>
      <c r="E222" s="61" t="s">
        <v>17</v>
      </c>
      <c r="F222" s="72" t="s">
        <v>112</v>
      </c>
      <c r="G222" s="22">
        <v>0</v>
      </c>
      <c r="H222" s="22">
        <v>5000</v>
      </c>
      <c r="I222" s="67">
        <f>SUM(K222:O222)+G222+H222</f>
        <v>71660000</v>
      </c>
      <c r="J222" s="23" t="s">
        <v>19</v>
      </c>
      <c r="K222" s="24">
        <f>SUM(K223:K225)</f>
        <v>3552353</v>
      </c>
      <c r="L222" s="25">
        <f>SUM(L223:L225)</f>
        <v>23000000</v>
      </c>
      <c r="M222" s="25">
        <f>SUM(M223:M225)</f>
        <v>25568349.4</v>
      </c>
      <c r="N222" s="25">
        <f>SUM(N223:N225)</f>
        <v>19534297.6</v>
      </c>
      <c r="O222" s="25"/>
    </row>
    <row r="223" spans="1:15" ht="12.75" customHeight="1">
      <c r="A223" s="76"/>
      <c r="B223" s="73"/>
      <c r="C223" s="73"/>
      <c r="D223" s="79"/>
      <c r="E223" s="62"/>
      <c r="F223" s="73"/>
      <c r="G223" s="22"/>
      <c r="H223" s="22"/>
      <c r="I223" s="68"/>
      <c r="J223" s="26" t="s">
        <v>20</v>
      </c>
      <c r="K223" s="24">
        <f>3552353*0.3979</f>
        <v>1413481.2587</v>
      </c>
      <c r="L223" s="25">
        <f>23000000*0.3979</f>
        <v>9151700</v>
      </c>
      <c r="M223" s="25">
        <f>25540000*0.3979</f>
        <v>10162366</v>
      </c>
      <c r="N223" s="25">
        <f>19100000*0.3979-5084.26+462647</f>
        <v>8057452.74</v>
      </c>
      <c r="O223" s="25"/>
    </row>
    <row r="224" spans="1:15" ht="36" customHeight="1">
      <c r="A224" s="76"/>
      <c r="B224" s="73"/>
      <c r="C224" s="73"/>
      <c r="D224" s="79"/>
      <c r="E224" s="62"/>
      <c r="F224" s="73"/>
      <c r="G224" s="22"/>
      <c r="H224" s="22"/>
      <c r="I224" s="68"/>
      <c r="J224" s="27" t="s">
        <v>21</v>
      </c>
      <c r="K224" s="24"/>
      <c r="L224" s="25"/>
      <c r="M224" s="25"/>
      <c r="N224" s="25"/>
      <c r="O224" s="25"/>
    </row>
    <row r="225" spans="1:16" ht="12.75" customHeight="1">
      <c r="A225" s="77"/>
      <c r="B225" s="74"/>
      <c r="C225" s="74"/>
      <c r="D225" s="80"/>
      <c r="E225" s="63"/>
      <c r="F225" s="74"/>
      <c r="G225" s="22"/>
      <c r="H225" s="22"/>
      <c r="I225" s="69"/>
      <c r="J225" s="26" t="s">
        <v>22</v>
      </c>
      <c r="K225" s="24">
        <f>3552353*0.6021</f>
        <v>2138871.7413</v>
      </c>
      <c r="L225" s="25">
        <f>23000000*0.6021</f>
        <v>13848300</v>
      </c>
      <c r="M225" s="25">
        <f>25540000*0.60321</f>
        <v>15405983.4</v>
      </c>
      <c r="N225" s="25">
        <f>19100000*0.6021-23265.14</f>
        <v>11476844.86</v>
      </c>
      <c r="O225" s="25"/>
      <c r="P225" s="3"/>
    </row>
    <row r="226" spans="1:15" ht="12.75" customHeight="1">
      <c r="A226" s="75">
        <v>25</v>
      </c>
      <c r="B226" s="72">
        <v>700</v>
      </c>
      <c r="C226" s="72">
        <v>70095</v>
      </c>
      <c r="D226" s="78" t="s">
        <v>113</v>
      </c>
      <c r="E226" s="61" t="s">
        <v>17</v>
      </c>
      <c r="F226" s="72" t="s">
        <v>114</v>
      </c>
      <c r="G226" s="22">
        <v>0</v>
      </c>
      <c r="H226" s="22">
        <v>350000</v>
      </c>
      <c r="I226" s="67">
        <f>SUM(K226:O226)+G226+H226</f>
        <v>4000000</v>
      </c>
      <c r="J226" s="23" t="s">
        <v>19</v>
      </c>
      <c r="K226" s="24">
        <f>SUM(K227:K229)</f>
        <v>1200000</v>
      </c>
      <c r="L226" s="25">
        <f>SUM(L227:L229)</f>
        <v>1200000</v>
      </c>
      <c r="M226" s="25">
        <f>SUM(M227:M229)</f>
        <v>1250000</v>
      </c>
      <c r="N226" s="25">
        <f>SUM(N227:N229)</f>
        <v>0</v>
      </c>
      <c r="O226" s="25">
        <f>SUM(O227:O229)</f>
        <v>0</v>
      </c>
    </row>
    <row r="227" spans="1:15" ht="22.5" customHeight="1">
      <c r="A227" s="76"/>
      <c r="B227" s="73"/>
      <c r="C227" s="73"/>
      <c r="D227" s="79"/>
      <c r="E227" s="62"/>
      <c r="F227" s="73"/>
      <c r="G227" s="22"/>
      <c r="H227" s="22"/>
      <c r="I227" s="68"/>
      <c r="J227" s="26" t="s">
        <v>20</v>
      </c>
      <c r="K227" s="24">
        <f>1000000+200000</f>
        <v>1200000</v>
      </c>
      <c r="L227" s="25">
        <f>1000000+200000</f>
        <v>1200000</v>
      </c>
      <c r="M227" s="25">
        <f>1000000+250000</f>
        <v>1250000</v>
      </c>
      <c r="N227" s="25"/>
      <c r="O227" s="25"/>
    </row>
    <row r="228" spans="1:15" ht="36" customHeight="1">
      <c r="A228" s="76"/>
      <c r="B228" s="73"/>
      <c r="C228" s="73"/>
      <c r="D228" s="79"/>
      <c r="E228" s="62"/>
      <c r="F228" s="73"/>
      <c r="G228" s="22"/>
      <c r="H228" s="22"/>
      <c r="I228" s="68"/>
      <c r="J228" s="27" t="s">
        <v>21</v>
      </c>
      <c r="K228" s="24"/>
      <c r="L228" s="25"/>
      <c r="M228" s="25"/>
      <c r="N228" s="25"/>
      <c r="O228" s="25"/>
    </row>
    <row r="229" spans="1:15" ht="12.75" customHeight="1">
      <c r="A229" s="77"/>
      <c r="B229" s="74"/>
      <c r="C229" s="74"/>
      <c r="D229" s="80"/>
      <c r="E229" s="63"/>
      <c r="F229" s="74"/>
      <c r="G229" s="22"/>
      <c r="H229" s="22"/>
      <c r="I229" s="69"/>
      <c r="J229" s="26" t="s">
        <v>22</v>
      </c>
      <c r="K229" s="24"/>
      <c r="L229" s="25"/>
      <c r="M229" s="25"/>
      <c r="N229" s="25"/>
      <c r="O229" s="25"/>
    </row>
    <row r="230" spans="1:15" ht="12.75" customHeight="1">
      <c r="A230" s="75">
        <v>26</v>
      </c>
      <c r="B230" s="72">
        <v>754</v>
      </c>
      <c r="C230" s="72">
        <v>75495</v>
      </c>
      <c r="D230" s="78" t="s">
        <v>159</v>
      </c>
      <c r="E230" s="61" t="s">
        <v>17</v>
      </c>
      <c r="F230" s="72" t="s">
        <v>115</v>
      </c>
      <c r="G230" s="22">
        <v>0</v>
      </c>
      <c r="H230" s="22">
        <v>50000</v>
      </c>
      <c r="I230" s="67">
        <f>SUM(K230:O230)+G230+H230</f>
        <v>6000000</v>
      </c>
      <c r="J230" s="23" t="s">
        <v>19</v>
      </c>
      <c r="K230" s="25">
        <f>SUM(K231:K233)</f>
        <v>0</v>
      </c>
      <c r="L230" s="25">
        <f>SUM(L231:L233)</f>
        <v>2000000</v>
      </c>
      <c r="M230" s="25">
        <f>SUM(M231:M233)</f>
        <v>2100000</v>
      </c>
      <c r="N230" s="25">
        <f>SUM(N231:N233)</f>
        <v>1850000</v>
      </c>
      <c r="O230" s="25">
        <f>SUM(O231:O233)</f>
        <v>0</v>
      </c>
    </row>
    <row r="231" spans="1:15" ht="12.75" customHeight="1">
      <c r="A231" s="76"/>
      <c r="B231" s="73"/>
      <c r="C231" s="73"/>
      <c r="D231" s="79"/>
      <c r="E231" s="62"/>
      <c r="F231" s="73"/>
      <c r="G231" s="22"/>
      <c r="H231" s="22"/>
      <c r="I231" s="68"/>
      <c r="J231" s="26" t="s">
        <v>20</v>
      </c>
      <c r="K231" s="25"/>
      <c r="L231" s="25">
        <v>500000</v>
      </c>
      <c r="M231" s="25">
        <v>525000</v>
      </c>
      <c r="N231" s="25">
        <f>(1800000+50000)*0.25</f>
        <v>462500</v>
      </c>
      <c r="O231" s="25"/>
    </row>
    <row r="232" spans="1:15" ht="36" customHeight="1">
      <c r="A232" s="76"/>
      <c r="B232" s="73"/>
      <c r="C232" s="73"/>
      <c r="D232" s="79"/>
      <c r="E232" s="62"/>
      <c r="F232" s="73"/>
      <c r="G232" s="22"/>
      <c r="H232" s="22"/>
      <c r="I232" s="68"/>
      <c r="J232" s="27" t="s">
        <v>21</v>
      </c>
      <c r="K232" s="25"/>
      <c r="L232" s="25"/>
      <c r="M232" s="25"/>
      <c r="N232" s="25"/>
      <c r="O232" s="25"/>
    </row>
    <row r="233" spans="1:15" ht="12.75" customHeight="1">
      <c r="A233" s="77"/>
      <c r="B233" s="74"/>
      <c r="C233" s="74"/>
      <c r="D233" s="80"/>
      <c r="E233" s="63"/>
      <c r="F233" s="74"/>
      <c r="G233" s="22"/>
      <c r="H233" s="22"/>
      <c r="I233" s="69"/>
      <c r="J233" s="26" t="s">
        <v>22</v>
      </c>
      <c r="K233" s="25"/>
      <c r="L233" s="25">
        <v>1500000</v>
      </c>
      <c r="M233" s="25">
        <v>1575000</v>
      </c>
      <c r="N233" s="25">
        <f>(1800000+50000)*0.75</f>
        <v>1387500</v>
      </c>
      <c r="O233" s="25"/>
    </row>
    <row r="234" spans="1:15" ht="12.75" customHeight="1">
      <c r="A234" s="75">
        <v>27</v>
      </c>
      <c r="B234" s="72"/>
      <c r="C234" s="72"/>
      <c r="D234" s="78" t="s">
        <v>116</v>
      </c>
      <c r="E234" s="61" t="s">
        <v>17</v>
      </c>
      <c r="F234" s="72"/>
      <c r="G234" s="22">
        <f>SUM(G238,G242,G246)</f>
        <v>0</v>
      </c>
      <c r="H234" s="22">
        <f>SUM(H238,H242,H246)</f>
        <v>90000</v>
      </c>
      <c r="I234" s="67">
        <f>SUM(K234:O234)+G234+H234</f>
        <v>2430000</v>
      </c>
      <c r="J234" s="23" t="s">
        <v>19</v>
      </c>
      <c r="K234" s="25">
        <f aca="true" t="shared" si="6" ref="K234:O237">K238+K242+K246</f>
        <v>1640000</v>
      </c>
      <c r="L234" s="25">
        <f t="shared" si="6"/>
        <v>700000</v>
      </c>
      <c r="M234" s="25">
        <f t="shared" si="6"/>
        <v>0</v>
      </c>
      <c r="N234" s="25">
        <f t="shared" si="6"/>
        <v>0</v>
      </c>
      <c r="O234" s="25">
        <f t="shared" si="6"/>
        <v>0</v>
      </c>
    </row>
    <row r="235" spans="1:15" ht="22.5" customHeight="1">
      <c r="A235" s="76"/>
      <c r="B235" s="73"/>
      <c r="C235" s="73"/>
      <c r="D235" s="79"/>
      <c r="E235" s="62"/>
      <c r="F235" s="73"/>
      <c r="G235" s="22"/>
      <c r="H235" s="22"/>
      <c r="I235" s="68"/>
      <c r="J235" s="26" t="s">
        <v>20</v>
      </c>
      <c r="K235" s="25">
        <f t="shared" si="6"/>
        <v>440000</v>
      </c>
      <c r="L235" s="25">
        <f t="shared" si="6"/>
        <v>700000</v>
      </c>
      <c r="M235" s="25">
        <f t="shared" si="6"/>
        <v>0</v>
      </c>
      <c r="N235" s="25">
        <f t="shared" si="6"/>
        <v>0</v>
      </c>
      <c r="O235" s="25">
        <f t="shared" si="6"/>
        <v>0</v>
      </c>
    </row>
    <row r="236" spans="1:15" ht="36" customHeight="1">
      <c r="A236" s="76"/>
      <c r="B236" s="73"/>
      <c r="C236" s="73"/>
      <c r="D236" s="79"/>
      <c r="E236" s="62"/>
      <c r="F236" s="73"/>
      <c r="G236" s="22"/>
      <c r="H236" s="22"/>
      <c r="I236" s="68"/>
      <c r="J236" s="27" t="s">
        <v>21</v>
      </c>
      <c r="K236" s="25">
        <f t="shared" si="6"/>
        <v>0</v>
      </c>
      <c r="L236" s="25">
        <f t="shared" si="6"/>
        <v>0</v>
      </c>
      <c r="M236" s="25">
        <f t="shared" si="6"/>
        <v>0</v>
      </c>
      <c r="N236" s="25">
        <f t="shared" si="6"/>
        <v>0</v>
      </c>
      <c r="O236" s="25">
        <f t="shared" si="6"/>
        <v>0</v>
      </c>
    </row>
    <row r="237" spans="1:15" ht="12.75" customHeight="1">
      <c r="A237" s="77"/>
      <c r="B237" s="74"/>
      <c r="C237" s="74"/>
      <c r="D237" s="80"/>
      <c r="E237" s="63"/>
      <c r="F237" s="74"/>
      <c r="G237" s="22"/>
      <c r="H237" s="22"/>
      <c r="I237" s="69"/>
      <c r="J237" s="26" t="s">
        <v>22</v>
      </c>
      <c r="K237" s="25">
        <f t="shared" si="6"/>
        <v>1200000</v>
      </c>
      <c r="L237" s="25">
        <f t="shared" si="6"/>
        <v>0</v>
      </c>
      <c r="M237" s="25">
        <f t="shared" si="6"/>
        <v>0</v>
      </c>
      <c r="N237" s="25">
        <f t="shared" si="6"/>
        <v>0</v>
      </c>
      <c r="O237" s="25">
        <f t="shared" si="6"/>
        <v>0</v>
      </c>
    </row>
    <row r="238" spans="1:15" ht="12.75" customHeight="1">
      <c r="A238" s="75" t="s">
        <v>117</v>
      </c>
      <c r="B238" s="72">
        <v>801</v>
      </c>
      <c r="C238" s="72">
        <v>80104</v>
      </c>
      <c r="D238" s="93" t="s">
        <v>118</v>
      </c>
      <c r="E238" s="61" t="s">
        <v>17</v>
      </c>
      <c r="F238" s="64" t="s">
        <v>119</v>
      </c>
      <c r="G238" s="28">
        <v>0</v>
      </c>
      <c r="H238" s="28">
        <v>30000</v>
      </c>
      <c r="I238" s="67">
        <f>SUM(K238:O238)+G238+H238</f>
        <v>800000</v>
      </c>
      <c r="J238" s="23" t="s">
        <v>19</v>
      </c>
      <c r="K238" s="24">
        <f>SUM(K239:K241)</f>
        <v>770000</v>
      </c>
      <c r="L238" s="25">
        <f>SUM(L239:L241)</f>
        <v>0</v>
      </c>
      <c r="M238" s="25">
        <f>SUM(M239:M241)</f>
        <v>0</v>
      </c>
      <c r="N238" s="25">
        <f>SUM(N239:N241)</f>
        <v>0</v>
      </c>
      <c r="O238" s="25">
        <f>SUM(O239:O241)</f>
        <v>0</v>
      </c>
    </row>
    <row r="239" spans="1:15" ht="22.5" customHeight="1">
      <c r="A239" s="76"/>
      <c r="B239" s="73"/>
      <c r="C239" s="73"/>
      <c r="D239" s="94"/>
      <c r="E239" s="62"/>
      <c r="F239" s="70"/>
      <c r="G239" s="28"/>
      <c r="H239" s="28"/>
      <c r="I239" s="68"/>
      <c r="J239" s="26" t="s">
        <v>20</v>
      </c>
      <c r="K239" s="24">
        <f>770000*0.25</f>
        <v>192500</v>
      </c>
      <c r="L239" s="25"/>
      <c r="M239" s="25"/>
      <c r="N239" s="25"/>
      <c r="O239" s="25"/>
    </row>
    <row r="240" spans="1:15" ht="36" customHeight="1">
      <c r="A240" s="76"/>
      <c r="B240" s="73"/>
      <c r="C240" s="73"/>
      <c r="D240" s="94"/>
      <c r="E240" s="62"/>
      <c r="F240" s="70"/>
      <c r="G240" s="28"/>
      <c r="H240" s="28"/>
      <c r="I240" s="68"/>
      <c r="J240" s="27" t="s">
        <v>21</v>
      </c>
      <c r="K240" s="24"/>
      <c r="L240" s="25"/>
      <c r="M240" s="25"/>
      <c r="N240" s="25"/>
      <c r="O240" s="25"/>
    </row>
    <row r="241" spans="1:15" ht="12.75" customHeight="1">
      <c r="A241" s="77"/>
      <c r="B241" s="74"/>
      <c r="C241" s="74"/>
      <c r="D241" s="95"/>
      <c r="E241" s="63"/>
      <c r="F241" s="71"/>
      <c r="G241" s="28"/>
      <c r="H241" s="28"/>
      <c r="I241" s="69"/>
      <c r="J241" s="26" t="s">
        <v>22</v>
      </c>
      <c r="K241" s="24">
        <f>770000*0.75</f>
        <v>577500</v>
      </c>
      <c r="L241" s="25"/>
      <c r="M241" s="25"/>
      <c r="N241" s="25"/>
      <c r="O241" s="25"/>
    </row>
    <row r="242" spans="1:15" ht="12.75" customHeight="1">
      <c r="A242" s="75" t="s">
        <v>120</v>
      </c>
      <c r="B242" s="72">
        <v>801</v>
      </c>
      <c r="C242" s="72">
        <v>80104</v>
      </c>
      <c r="D242" s="93" t="s">
        <v>121</v>
      </c>
      <c r="E242" s="61" t="s">
        <v>17</v>
      </c>
      <c r="F242" s="64" t="s">
        <v>103</v>
      </c>
      <c r="G242" s="28">
        <v>0</v>
      </c>
      <c r="H242" s="28">
        <v>30000</v>
      </c>
      <c r="I242" s="67">
        <f>SUM(K242:O242)+G242+H242</f>
        <v>770000</v>
      </c>
      <c r="J242" s="23" t="s">
        <v>19</v>
      </c>
      <c r="K242" s="24">
        <f>SUM(K243:K245)</f>
        <v>40000</v>
      </c>
      <c r="L242" s="25">
        <f>SUM(L243:L245)</f>
        <v>700000</v>
      </c>
      <c r="M242" s="25">
        <f>SUM(M243:M245)</f>
        <v>0</v>
      </c>
      <c r="N242" s="25">
        <f>SUM(N243:N245)</f>
        <v>0</v>
      </c>
      <c r="O242" s="25">
        <f>SUM(O243:O245)</f>
        <v>0</v>
      </c>
    </row>
    <row r="243" spans="1:15" ht="22.5" customHeight="1">
      <c r="A243" s="76"/>
      <c r="B243" s="73"/>
      <c r="C243" s="73"/>
      <c r="D243" s="94"/>
      <c r="E243" s="62"/>
      <c r="F243" s="70"/>
      <c r="G243" s="28"/>
      <c r="H243" s="28"/>
      <c r="I243" s="68"/>
      <c r="J243" s="26" t="s">
        <v>20</v>
      </c>
      <c r="K243" s="24">
        <v>40000</v>
      </c>
      <c r="L243" s="25">
        <v>700000</v>
      </c>
      <c r="M243" s="25"/>
      <c r="N243" s="25"/>
      <c r="O243" s="25"/>
    </row>
    <row r="244" spans="1:15" ht="36" customHeight="1">
      <c r="A244" s="76"/>
      <c r="B244" s="73"/>
      <c r="C244" s="73"/>
      <c r="D244" s="94"/>
      <c r="E244" s="62"/>
      <c r="F244" s="70"/>
      <c r="G244" s="28"/>
      <c r="H244" s="28"/>
      <c r="I244" s="68"/>
      <c r="J244" s="27" t="s">
        <v>21</v>
      </c>
      <c r="K244" s="24"/>
      <c r="L244" s="25"/>
      <c r="M244" s="25"/>
      <c r="N244" s="25"/>
      <c r="O244" s="25"/>
    </row>
    <row r="245" spans="1:15" ht="12.75" customHeight="1">
      <c r="A245" s="77"/>
      <c r="B245" s="74"/>
      <c r="C245" s="74"/>
      <c r="D245" s="95"/>
      <c r="E245" s="63"/>
      <c r="F245" s="71"/>
      <c r="G245" s="28"/>
      <c r="H245" s="28"/>
      <c r="I245" s="69"/>
      <c r="J245" s="26" t="s">
        <v>22</v>
      </c>
      <c r="K245" s="24"/>
      <c r="L245" s="25"/>
      <c r="M245" s="25"/>
      <c r="N245" s="25"/>
      <c r="O245" s="25"/>
    </row>
    <row r="246" spans="1:15" ht="12.75" customHeight="1">
      <c r="A246" s="75" t="s">
        <v>122</v>
      </c>
      <c r="B246" s="72">
        <v>801</v>
      </c>
      <c r="C246" s="72">
        <v>80104</v>
      </c>
      <c r="D246" s="93" t="s">
        <v>123</v>
      </c>
      <c r="E246" s="61" t="s">
        <v>17</v>
      </c>
      <c r="F246" s="64" t="s">
        <v>119</v>
      </c>
      <c r="G246" s="28">
        <v>0</v>
      </c>
      <c r="H246" s="28">
        <v>30000</v>
      </c>
      <c r="I246" s="67">
        <f>SUM(K246:O246)+G246+H246</f>
        <v>860000</v>
      </c>
      <c r="J246" s="23" t="s">
        <v>19</v>
      </c>
      <c r="K246" s="24">
        <f>SUM(K247:K249)</f>
        <v>830000</v>
      </c>
      <c r="L246" s="25">
        <f>SUM(L247:L249)</f>
        <v>0</v>
      </c>
      <c r="M246" s="25">
        <f>SUM(M247:M249)</f>
        <v>0</v>
      </c>
      <c r="N246" s="25">
        <f>SUM(N247:N249)</f>
        <v>0</v>
      </c>
      <c r="O246" s="25">
        <f>SUM(O247:O249)</f>
        <v>0</v>
      </c>
    </row>
    <row r="247" spans="1:15" ht="14.25" customHeight="1">
      <c r="A247" s="76"/>
      <c r="B247" s="73"/>
      <c r="C247" s="73"/>
      <c r="D247" s="94"/>
      <c r="E247" s="62"/>
      <c r="F247" s="70"/>
      <c r="G247" s="28"/>
      <c r="H247" s="28"/>
      <c r="I247" s="68"/>
      <c r="J247" s="26" t="s">
        <v>20</v>
      </c>
      <c r="K247" s="24">
        <f>830000*0.25</f>
        <v>207500</v>
      </c>
      <c r="L247" s="25"/>
      <c r="M247" s="25"/>
      <c r="N247" s="25"/>
      <c r="O247" s="25"/>
    </row>
    <row r="248" spans="1:15" ht="25.5" customHeight="1">
      <c r="A248" s="76"/>
      <c r="B248" s="73"/>
      <c r="C248" s="73"/>
      <c r="D248" s="94"/>
      <c r="E248" s="62"/>
      <c r="F248" s="70"/>
      <c r="G248" s="28"/>
      <c r="H248" s="28"/>
      <c r="I248" s="68"/>
      <c r="J248" s="27" t="s">
        <v>21</v>
      </c>
      <c r="K248" s="24"/>
      <c r="L248" s="25"/>
      <c r="M248" s="25"/>
      <c r="N248" s="25"/>
      <c r="O248" s="25"/>
    </row>
    <row r="249" spans="1:15" ht="12.75" customHeight="1">
      <c r="A249" s="77"/>
      <c r="B249" s="74"/>
      <c r="C249" s="74"/>
      <c r="D249" s="95"/>
      <c r="E249" s="63"/>
      <c r="F249" s="71"/>
      <c r="G249" s="28"/>
      <c r="H249" s="28"/>
      <c r="I249" s="69"/>
      <c r="J249" s="26" t="s">
        <v>22</v>
      </c>
      <c r="K249" s="24">
        <f>830000*0.75</f>
        <v>622500</v>
      </c>
      <c r="L249" s="25"/>
      <c r="M249" s="25"/>
      <c r="N249" s="25"/>
      <c r="O249" s="25"/>
    </row>
    <row r="250" spans="1:15" ht="22.5" customHeight="1">
      <c r="A250" s="75">
        <v>28</v>
      </c>
      <c r="B250" s="72">
        <v>801</v>
      </c>
      <c r="C250" s="72">
        <v>80101</v>
      </c>
      <c r="D250" s="87" t="s">
        <v>124</v>
      </c>
      <c r="E250" s="61" t="s">
        <v>17</v>
      </c>
      <c r="F250" s="72" t="s">
        <v>54</v>
      </c>
      <c r="G250" s="22">
        <v>19768</v>
      </c>
      <c r="H250" s="22">
        <v>156766</v>
      </c>
      <c r="I250" s="67">
        <f>SUM(K250:O250)+G250+H250</f>
        <v>9176534</v>
      </c>
      <c r="J250" s="23" t="s">
        <v>19</v>
      </c>
      <c r="K250" s="24">
        <f>SUM(K251:K253)</f>
        <v>4500000</v>
      </c>
      <c r="L250" s="25">
        <f>SUM(L251:L253)</f>
        <v>4500000</v>
      </c>
      <c r="M250" s="25">
        <f>SUM(M251:M253)</f>
        <v>0</v>
      </c>
      <c r="N250" s="25">
        <f>SUM(N251:N253)</f>
        <v>0</v>
      </c>
      <c r="O250" s="25">
        <f>SUM(O251:O253)</f>
        <v>0</v>
      </c>
    </row>
    <row r="251" spans="1:15" ht="12.75" customHeight="1">
      <c r="A251" s="76"/>
      <c r="B251" s="73"/>
      <c r="C251" s="73"/>
      <c r="D251" s="88"/>
      <c r="E251" s="62"/>
      <c r="F251" s="73"/>
      <c r="G251" s="22"/>
      <c r="H251" s="22"/>
      <c r="I251" s="68"/>
      <c r="J251" s="26" t="s">
        <v>20</v>
      </c>
      <c r="K251" s="24">
        <v>4500000</v>
      </c>
      <c r="L251" s="25">
        <v>4500000</v>
      </c>
      <c r="M251" s="25"/>
      <c r="N251" s="25"/>
      <c r="O251" s="25"/>
    </row>
    <row r="252" spans="1:15" ht="25.5" customHeight="1">
      <c r="A252" s="76"/>
      <c r="B252" s="73"/>
      <c r="C252" s="73"/>
      <c r="D252" s="88"/>
      <c r="E252" s="62"/>
      <c r="F252" s="73"/>
      <c r="G252" s="22"/>
      <c r="H252" s="22"/>
      <c r="I252" s="68"/>
      <c r="J252" s="27" t="s">
        <v>21</v>
      </c>
      <c r="K252" s="24"/>
      <c r="L252" s="25"/>
      <c r="M252" s="25"/>
      <c r="N252" s="25"/>
      <c r="O252" s="25"/>
    </row>
    <row r="253" spans="1:15" ht="12.75" customHeight="1">
      <c r="A253" s="77"/>
      <c r="B253" s="74"/>
      <c r="C253" s="74"/>
      <c r="D253" s="89"/>
      <c r="E253" s="63"/>
      <c r="F253" s="74"/>
      <c r="G253" s="22"/>
      <c r="H253" s="22"/>
      <c r="I253" s="69"/>
      <c r="J253" s="26" t="s">
        <v>22</v>
      </c>
      <c r="K253" s="24"/>
      <c r="L253" s="25"/>
      <c r="M253" s="25"/>
      <c r="N253" s="25"/>
      <c r="O253" s="25"/>
    </row>
    <row r="254" spans="1:15" ht="12.75" customHeight="1">
      <c r="A254" s="75">
        <v>29</v>
      </c>
      <c r="B254" s="72">
        <v>801</v>
      </c>
      <c r="C254" s="72">
        <v>80101</v>
      </c>
      <c r="D254" s="90" t="s">
        <v>163</v>
      </c>
      <c r="E254" s="61" t="s">
        <v>17</v>
      </c>
      <c r="F254" s="72" t="s">
        <v>54</v>
      </c>
      <c r="G254" s="22">
        <v>26840</v>
      </c>
      <c r="H254" s="22">
        <v>0</v>
      </c>
      <c r="I254" s="67">
        <f>SUM(K254:O254)+G254+H254</f>
        <v>2126840</v>
      </c>
      <c r="J254" s="23" t="s">
        <v>19</v>
      </c>
      <c r="K254" s="24">
        <f>SUM(K255:K257)</f>
        <v>40000</v>
      </c>
      <c r="L254" s="25">
        <f>SUM(L255:L257)</f>
        <v>2060000</v>
      </c>
      <c r="M254" s="25">
        <f>SUM(M255:M257)</f>
        <v>0</v>
      </c>
      <c r="N254" s="25">
        <f>SUM(N255:N257)</f>
        <v>0</v>
      </c>
      <c r="O254" s="25">
        <f>SUM(O255:O257)</f>
        <v>0</v>
      </c>
    </row>
    <row r="255" spans="1:15" ht="12.75" customHeight="1">
      <c r="A255" s="76"/>
      <c r="B255" s="73"/>
      <c r="C255" s="73"/>
      <c r="D255" s="91"/>
      <c r="E255" s="62"/>
      <c r="F255" s="73"/>
      <c r="G255" s="22"/>
      <c r="H255" s="22"/>
      <c r="I255" s="68"/>
      <c r="J255" s="26" t="s">
        <v>20</v>
      </c>
      <c r="K255" s="24">
        <v>40000</v>
      </c>
      <c r="L255" s="25">
        <v>2060000</v>
      </c>
      <c r="M255" s="25"/>
      <c r="N255" s="25"/>
      <c r="O255" s="25"/>
    </row>
    <row r="256" spans="1:15" ht="27" customHeight="1">
      <c r="A256" s="76"/>
      <c r="B256" s="73"/>
      <c r="C256" s="73"/>
      <c r="D256" s="91"/>
      <c r="E256" s="62"/>
      <c r="F256" s="73"/>
      <c r="G256" s="22"/>
      <c r="H256" s="22"/>
      <c r="I256" s="68"/>
      <c r="J256" s="27" t="s">
        <v>21</v>
      </c>
      <c r="K256" s="24"/>
      <c r="L256" s="25"/>
      <c r="M256" s="25"/>
      <c r="N256" s="25"/>
      <c r="O256" s="25"/>
    </row>
    <row r="257" spans="1:15" ht="12.75" customHeight="1">
      <c r="A257" s="77"/>
      <c r="B257" s="74"/>
      <c r="C257" s="74"/>
      <c r="D257" s="92"/>
      <c r="E257" s="63"/>
      <c r="F257" s="74"/>
      <c r="G257" s="22"/>
      <c r="H257" s="22"/>
      <c r="I257" s="69"/>
      <c r="J257" s="26" t="s">
        <v>22</v>
      </c>
      <c r="K257" s="24"/>
      <c r="L257" s="25"/>
      <c r="M257" s="25"/>
      <c r="N257" s="25"/>
      <c r="O257" s="25"/>
    </row>
    <row r="258" spans="1:15" ht="12.75" customHeight="1">
      <c r="A258" s="75">
        <v>30</v>
      </c>
      <c r="B258" s="72">
        <v>801</v>
      </c>
      <c r="C258" s="72">
        <v>80110</v>
      </c>
      <c r="D258" s="87" t="s">
        <v>125</v>
      </c>
      <c r="E258" s="61" t="s">
        <v>17</v>
      </c>
      <c r="F258" s="64" t="s">
        <v>126</v>
      </c>
      <c r="G258" s="28">
        <v>28670</v>
      </c>
      <c r="H258" s="28">
        <v>1180000</v>
      </c>
      <c r="I258" s="67">
        <f>SUM(K258:O258)+G258+H258</f>
        <v>2043670</v>
      </c>
      <c r="J258" s="23" t="s">
        <v>19</v>
      </c>
      <c r="K258" s="24">
        <f>SUM(K259:K261)</f>
        <v>835000</v>
      </c>
      <c r="L258" s="25">
        <f>SUM(L259:L261)</f>
        <v>0</v>
      </c>
      <c r="M258" s="25">
        <f>SUM(M259:M261)</f>
        <v>0</v>
      </c>
      <c r="N258" s="25">
        <f>SUM(N259:N261)</f>
        <v>0</v>
      </c>
      <c r="O258" s="25">
        <f>SUM(O259:O261)</f>
        <v>0</v>
      </c>
    </row>
    <row r="259" spans="1:15" ht="12.75" customHeight="1">
      <c r="A259" s="76"/>
      <c r="B259" s="73"/>
      <c r="C259" s="73"/>
      <c r="D259" s="88"/>
      <c r="E259" s="62"/>
      <c r="F259" s="70"/>
      <c r="G259" s="28"/>
      <c r="H259" s="28"/>
      <c r="I259" s="68"/>
      <c r="J259" s="26" t="s">
        <v>20</v>
      </c>
      <c r="K259" s="24">
        <v>835000</v>
      </c>
      <c r="L259" s="25"/>
      <c r="M259" s="25"/>
      <c r="N259" s="25"/>
      <c r="O259" s="25"/>
    </row>
    <row r="260" spans="1:15" ht="24.75" customHeight="1">
      <c r="A260" s="76"/>
      <c r="B260" s="73"/>
      <c r="C260" s="73"/>
      <c r="D260" s="88"/>
      <c r="E260" s="62"/>
      <c r="F260" s="70"/>
      <c r="G260" s="28"/>
      <c r="H260" s="28"/>
      <c r="I260" s="68"/>
      <c r="J260" s="27" t="s">
        <v>21</v>
      </c>
      <c r="K260" s="24"/>
      <c r="L260" s="25"/>
      <c r="M260" s="25"/>
      <c r="N260" s="25"/>
      <c r="O260" s="25"/>
    </row>
    <row r="261" spans="1:15" ht="12.75" customHeight="1">
      <c r="A261" s="76"/>
      <c r="B261" s="74"/>
      <c r="C261" s="74"/>
      <c r="D261" s="88"/>
      <c r="E261" s="63"/>
      <c r="F261" s="71"/>
      <c r="G261" s="28"/>
      <c r="H261" s="28"/>
      <c r="I261" s="69"/>
      <c r="J261" s="26" t="s">
        <v>22</v>
      </c>
      <c r="K261" s="24"/>
      <c r="L261" s="25"/>
      <c r="M261" s="25"/>
      <c r="N261" s="25"/>
      <c r="O261" s="25"/>
    </row>
    <row r="262" spans="1:15" ht="12.75" customHeight="1">
      <c r="A262" s="76"/>
      <c r="B262" s="72">
        <v>851</v>
      </c>
      <c r="C262" s="72">
        <v>85154</v>
      </c>
      <c r="D262" s="88"/>
      <c r="E262" s="61" t="s">
        <v>17</v>
      </c>
      <c r="F262" s="64" t="s">
        <v>126</v>
      </c>
      <c r="G262" s="28"/>
      <c r="H262" s="28">
        <v>470000</v>
      </c>
      <c r="I262" s="67">
        <f>SUM(K262:O262)+G262+H262</f>
        <v>935000</v>
      </c>
      <c r="J262" s="23" t="s">
        <v>19</v>
      </c>
      <c r="K262" s="24">
        <f>SUM(K263:K265)</f>
        <v>465000</v>
      </c>
      <c r="L262" s="25"/>
      <c r="M262" s="25"/>
      <c r="N262" s="25"/>
      <c r="O262" s="25"/>
    </row>
    <row r="263" spans="1:15" ht="12.75" customHeight="1">
      <c r="A263" s="76"/>
      <c r="B263" s="73"/>
      <c r="C263" s="73"/>
      <c r="D263" s="88"/>
      <c r="E263" s="62"/>
      <c r="F263" s="70"/>
      <c r="G263" s="28"/>
      <c r="H263" s="28"/>
      <c r="I263" s="68"/>
      <c r="J263" s="26" t="s">
        <v>20</v>
      </c>
      <c r="K263" s="24">
        <v>465000</v>
      </c>
      <c r="L263" s="25"/>
      <c r="M263" s="25"/>
      <c r="N263" s="25"/>
      <c r="O263" s="25"/>
    </row>
    <row r="264" spans="1:15" ht="12.75" customHeight="1">
      <c r="A264" s="76"/>
      <c r="B264" s="73"/>
      <c r="C264" s="73"/>
      <c r="D264" s="88"/>
      <c r="E264" s="62"/>
      <c r="F264" s="70"/>
      <c r="G264" s="28"/>
      <c r="H264" s="28"/>
      <c r="I264" s="68"/>
      <c r="J264" s="27" t="s">
        <v>21</v>
      </c>
      <c r="K264" s="24"/>
      <c r="L264" s="25"/>
      <c r="M264" s="25"/>
      <c r="N264" s="25"/>
      <c r="O264" s="25"/>
    </row>
    <row r="265" spans="1:15" ht="12.75" customHeight="1">
      <c r="A265" s="77"/>
      <c r="B265" s="74"/>
      <c r="C265" s="74"/>
      <c r="D265" s="89"/>
      <c r="E265" s="63"/>
      <c r="F265" s="71"/>
      <c r="G265" s="28"/>
      <c r="H265" s="28"/>
      <c r="I265" s="69"/>
      <c r="J265" s="26" t="s">
        <v>22</v>
      </c>
      <c r="K265" s="24"/>
      <c r="L265" s="25"/>
      <c r="M265" s="25"/>
      <c r="N265" s="25"/>
      <c r="O265" s="25"/>
    </row>
    <row r="266" spans="1:15" ht="12.75" customHeight="1">
      <c r="A266" s="75">
        <v>31</v>
      </c>
      <c r="B266" s="72">
        <v>852</v>
      </c>
      <c r="C266" s="72">
        <v>85295</v>
      </c>
      <c r="D266" s="87" t="s">
        <v>127</v>
      </c>
      <c r="E266" s="61" t="s">
        <v>17</v>
      </c>
      <c r="F266" s="64" t="s">
        <v>114</v>
      </c>
      <c r="G266" s="28">
        <v>0</v>
      </c>
      <c r="H266" s="28">
        <v>0</v>
      </c>
      <c r="I266" s="67">
        <f>SUM(K266:O266)+G266+H266</f>
        <v>3500000</v>
      </c>
      <c r="J266" s="23" t="s">
        <v>19</v>
      </c>
      <c r="K266" s="24">
        <f>SUM(K267:K269)</f>
        <v>150000</v>
      </c>
      <c r="L266" s="25">
        <f>SUM(L267:L269)</f>
        <v>1500000</v>
      </c>
      <c r="M266" s="25">
        <f>SUM(M267:M269)</f>
        <v>1850000</v>
      </c>
      <c r="N266" s="25">
        <f>SUM(N267:N269)</f>
        <v>0</v>
      </c>
      <c r="O266" s="25">
        <f>SUM(O267:O269)</f>
        <v>0</v>
      </c>
    </row>
    <row r="267" spans="1:15" ht="12.75" customHeight="1">
      <c r="A267" s="76"/>
      <c r="B267" s="73"/>
      <c r="C267" s="73"/>
      <c r="D267" s="88"/>
      <c r="E267" s="62"/>
      <c r="F267" s="70"/>
      <c r="G267" s="28"/>
      <c r="H267" s="28"/>
      <c r="I267" s="68"/>
      <c r="J267" s="26" t="s">
        <v>20</v>
      </c>
      <c r="K267" s="24">
        <v>150000</v>
      </c>
      <c r="L267" s="25">
        <v>1500000</v>
      </c>
      <c r="M267" s="25">
        <f>1800000+200000-150000</f>
        <v>1850000</v>
      </c>
      <c r="N267" s="25"/>
      <c r="O267" s="25"/>
    </row>
    <row r="268" spans="1:15" ht="24.75" customHeight="1">
      <c r="A268" s="76"/>
      <c r="B268" s="73"/>
      <c r="C268" s="73"/>
      <c r="D268" s="88"/>
      <c r="E268" s="62"/>
      <c r="F268" s="70"/>
      <c r="G268" s="28"/>
      <c r="H268" s="28"/>
      <c r="I268" s="68"/>
      <c r="J268" s="27" t="s">
        <v>21</v>
      </c>
      <c r="K268" s="24"/>
      <c r="L268" s="25"/>
      <c r="M268" s="25"/>
      <c r="N268" s="25"/>
      <c r="O268" s="25"/>
    </row>
    <row r="269" spans="1:15" ht="12.75" customHeight="1">
      <c r="A269" s="77"/>
      <c r="B269" s="74"/>
      <c r="C269" s="74"/>
      <c r="D269" s="89"/>
      <c r="E269" s="63"/>
      <c r="F269" s="71"/>
      <c r="G269" s="28"/>
      <c r="H269" s="28"/>
      <c r="I269" s="69"/>
      <c r="J269" s="26" t="s">
        <v>22</v>
      </c>
      <c r="K269" s="24"/>
      <c r="L269" s="25"/>
      <c r="M269" s="25"/>
      <c r="N269" s="25"/>
      <c r="O269" s="25"/>
    </row>
    <row r="270" spans="1:15" ht="22.5" customHeight="1">
      <c r="A270" s="75">
        <v>32</v>
      </c>
      <c r="B270" s="72">
        <v>900</v>
      </c>
      <c r="C270" s="72">
        <v>90001</v>
      </c>
      <c r="D270" s="81" t="s">
        <v>128</v>
      </c>
      <c r="E270" s="61" t="s">
        <v>17</v>
      </c>
      <c r="F270" s="72" t="s">
        <v>129</v>
      </c>
      <c r="G270" s="22">
        <v>0</v>
      </c>
      <c r="H270" s="22">
        <v>50000</v>
      </c>
      <c r="I270" s="67">
        <f>SUM(K270:O270)+G270+H270</f>
        <v>3650000</v>
      </c>
      <c r="J270" s="23" t="s">
        <v>19</v>
      </c>
      <c r="K270" s="59">
        <f>SUM(K271:K273)</f>
        <v>170000</v>
      </c>
      <c r="L270" s="25">
        <f>SUM(L271:L273)</f>
        <v>1420000</v>
      </c>
      <c r="M270" s="25">
        <f>SUM(M271:M273)</f>
        <v>580000</v>
      </c>
      <c r="N270" s="25">
        <f>SUM(N271:N273)</f>
        <v>715000</v>
      </c>
      <c r="O270" s="25">
        <f>SUM(O271:O273)</f>
        <v>715000</v>
      </c>
    </row>
    <row r="271" spans="1:15" ht="12.75" customHeight="1">
      <c r="A271" s="76"/>
      <c r="B271" s="73"/>
      <c r="C271" s="73"/>
      <c r="D271" s="82"/>
      <c r="E271" s="62"/>
      <c r="F271" s="73"/>
      <c r="G271" s="22"/>
      <c r="H271" s="22"/>
      <c r="I271" s="68"/>
      <c r="J271" s="26" t="s">
        <v>20</v>
      </c>
      <c r="K271" s="59">
        <v>170000</v>
      </c>
      <c r="L271" s="25">
        <f>1450000-30000</f>
        <v>1420000</v>
      </c>
      <c r="M271" s="25">
        <v>580000</v>
      </c>
      <c r="N271" s="25">
        <v>715000</v>
      </c>
      <c r="O271" s="25">
        <v>715000</v>
      </c>
    </row>
    <row r="272" spans="1:15" ht="24" customHeight="1">
      <c r="A272" s="76"/>
      <c r="B272" s="73"/>
      <c r="C272" s="73"/>
      <c r="D272" s="82"/>
      <c r="E272" s="62"/>
      <c r="F272" s="73"/>
      <c r="G272" s="22"/>
      <c r="H272" s="22"/>
      <c r="I272" s="68"/>
      <c r="J272" s="27" t="s">
        <v>21</v>
      </c>
      <c r="K272" s="59"/>
      <c r="L272" s="25"/>
      <c r="M272" s="25"/>
      <c r="N272" s="25"/>
      <c r="O272" s="25"/>
    </row>
    <row r="273" spans="1:15" ht="12.75" customHeight="1">
      <c r="A273" s="77"/>
      <c r="B273" s="74"/>
      <c r="C273" s="74"/>
      <c r="D273" s="83"/>
      <c r="E273" s="63"/>
      <c r="F273" s="74"/>
      <c r="G273" s="22"/>
      <c r="H273" s="22"/>
      <c r="I273" s="69"/>
      <c r="J273" s="26" t="s">
        <v>22</v>
      </c>
      <c r="K273" s="59"/>
      <c r="L273" s="25"/>
      <c r="M273" s="25"/>
      <c r="N273" s="25"/>
      <c r="O273" s="25"/>
    </row>
    <row r="274" spans="1:15" ht="12.75" customHeight="1">
      <c r="A274" s="75">
        <v>33</v>
      </c>
      <c r="B274" s="72">
        <v>900</v>
      </c>
      <c r="C274" s="72">
        <v>90004</v>
      </c>
      <c r="D274" s="78" t="s">
        <v>130</v>
      </c>
      <c r="E274" s="61" t="s">
        <v>17</v>
      </c>
      <c r="F274" s="72" t="s">
        <v>29</v>
      </c>
      <c r="G274" s="22">
        <v>0</v>
      </c>
      <c r="H274" s="22">
        <v>0</v>
      </c>
      <c r="I274" s="67">
        <f>SUM(K274:O274)+G274+H274</f>
        <v>1250000</v>
      </c>
      <c r="J274" s="23" t="s">
        <v>19</v>
      </c>
      <c r="K274" s="24">
        <f>SUM(K275:K277)</f>
        <v>250000</v>
      </c>
      <c r="L274" s="25">
        <f>SUM(L275:L277)</f>
        <v>250000</v>
      </c>
      <c r="M274" s="25">
        <f>SUM(M275:M277)</f>
        <v>250000</v>
      </c>
      <c r="N274" s="25">
        <f>SUM(N275:N277)</f>
        <v>250000</v>
      </c>
      <c r="O274" s="25">
        <f>SUM(O275:O277)</f>
        <v>250000</v>
      </c>
    </row>
    <row r="275" spans="1:15" ht="12.75" customHeight="1">
      <c r="A275" s="76"/>
      <c r="B275" s="73"/>
      <c r="C275" s="73"/>
      <c r="D275" s="79"/>
      <c r="E275" s="62"/>
      <c r="F275" s="73"/>
      <c r="G275" s="22"/>
      <c r="H275" s="22"/>
      <c r="I275" s="68"/>
      <c r="J275" s="26" t="s">
        <v>20</v>
      </c>
      <c r="K275" s="24">
        <v>250000</v>
      </c>
      <c r="L275" s="25">
        <v>250000</v>
      </c>
      <c r="M275" s="25">
        <v>250000</v>
      </c>
      <c r="N275" s="25">
        <v>250000</v>
      </c>
      <c r="O275" s="25">
        <v>250000</v>
      </c>
    </row>
    <row r="276" spans="1:15" ht="36" customHeight="1">
      <c r="A276" s="76"/>
      <c r="B276" s="73"/>
      <c r="C276" s="73"/>
      <c r="D276" s="79"/>
      <c r="E276" s="62"/>
      <c r="F276" s="73"/>
      <c r="G276" s="22"/>
      <c r="H276" s="22"/>
      <c r="I276" s="68"/>
      <c r="J276" s="27" t="s">
        <v>21</v>
      </c>
      <c r="K276" s="24"/>
      <c r="L276" s="25"/>
      <c r="M276" s="25"/>
      <c r="N276" s="25"/>
      <c r="O276" s="25"/>
    </row>
    <row r="277" spans="1:15" ht="12.75" customHeight="1">
      <c r="A277" s="77"/>
      <c r="B277" s="74"/>
      <c r="C277" s="74"/>
      <c r="D277" s="80"/>
      <c r="E277" s="63"/>
      <c r="F277" s="74"/>
      <c r="G277" s="22"/>
      <c r="H277" s="22"/>
      <c r="I277" s="69"/>
      <c r="J277" s="26" t="s">
        <v>22</v>
      </c>
      <c r="K277" s="24"/>
      <c r="L277" s="25"/>
      <c r="M277" s="25"/>
      <c r="N277" s="25"/>
      <c r="O277" s="25"/>
    </row>
    <row r="278" spans="1:15" ht="12.75" customHeight="1">
      <c r="A278" s="75">
        <v>34</v>
      </c>
      <c r="B278" s="72">
        <v>900</v>
      </c>
      <c r="C278" s="72">
        <v>90018</v>
      </c>
      <c r="D278" s="78" t="s">
        <v>131</v>
      </c>
      <c r="E278" s="61" t="s">
        <v>132</v>
      </c>
      <c r="F278" s="64" t="s">
        <v>26</v>
      </c>
      <c r="G278" s="28">
        <v>142699</v>
      </c>
      <c r="H278" s="28">
        <v>90000</v>
      </c>
      <c r="I278" s="67">
        <f>SUM(K278:O278)+G278+H278</f>
        <v>8398699</v>
      </c>
      <c r="J278" s="23" t="s">
        <v>19</v>
      </c>
      <c r="K278" s="24">
        <f>SUM(K279:K281)</f>
        <v>200000</v>
      </c>
      <c r="L278" s="25">
        <f>SUM(L279:L281)</f>
        <v>4000000</v>
      </c>
      <c r="M278" s="25">
        <f>SUM(M279:M281)</f>
        <v>3966000</v>
      </c>
      <c r="N278" s="25">
        <f>SUM(N279:N281)</f>
        <v>0</v>
      </c>
      <c r="O278" s="25">
        <f>SUM(O279:O281)</f>
        <v>0</v>
      </c>
    </row>
    <row r="279" spans="1:15" ht="12.75" customHeight="1">
      <c r="A279" s="76"/>
      <c r="B279" s="73"/>
      <c r="C279" s="73"/>
      <c r="D279" s="79"/>
      <c r="E279" s="62"/>
      <c r="F279" s="70"/>
      <c r="G279" s="28"/>
      <c r="H279" s="28"/>
      <c r="I279" s="68"/>
      <c r="J279" s="26" t="s">
        <v>20</v>
      </c>
      <c r="K279" s="24">
        <v>200000</v>
      </c>
      <c r="L279" s="25">
        <f>4000000*0.15</f>
        <v>600000</v>
      </c>
      <c r="M279" s="25">
        <f>1016000*0.15-50000+3000000*0.15</f>
        <v>552400</v>
      </c>
      <c r="N279" s="25"/>
      <c r="O279" s="25"/>
    </row>
    <row r="280" spans="1:15" ht="36" customHeight="1">
      <c r="A280" s="76"/>
      <c r="B280" s="73"/>
      <c r="C280" s="73"/>
      <c r="D280" s="79"/>
      <c r="E280" s="62"/>
      <c r="F280" s="70"/>
      <c r="G280" s="28"/>
      <c r="H280" s="28"/>
      <c r="I280" s="68"/>
      <c r="J280" s="27" t="s">
        <v>21</v>
      </c>
      <c r="K280" s="24"/>
      <c r="L280" s="25"/>
      <c r="M280" s="25"/>
      <c r="N280" s="25"/>
      <c r="O280" s="25"/>
    </row>
    <row r="281" spans="1:15" ht="22.5" customHeight="1">
      <c r="A281" s="77"/>
      <c r="B281" s="74"/>
      <c r="C281" s="74"/>
      <c r="D281" s="80"/>
      <c r="E281" s="63"/>
      <c r="F281" s="71"/>
      <c r="G281" s="28"/>
      <c r="H281" s="28"/>
      <c r="I281" s="69"/>
      <c r="J281" s="26" t="s">
        <v>22</v>
      </c>
      <c r="K281" s="24"/>
      <c r="L281" s="25">
        <f>4000000*0.85</f>
        <v>3400000</v>
      </c>
      <c r="M281" s="25">
        <f>(1016000+3000000)*0.85</f>
        <v>3413600</v>
      </c>
      <c r="N281" s="25"/>
      <c r="O281" s="25"/>
    </row>
    <row r="282" spans="1:15" ht="12.75" customHeight="1">
      <c r="A282" s="75">
        <v>35</v>
      </c>
      <c r="B282" s="72">
        <v>900</v>
      </c>
      <c r="C282" s="72">
        <v>90095</v>
      </c>
      <c r="D282" s="78" t="s">
        <v>133</v>
      </c>
      <c r="E282" s="61" t="s">
        <v>17</v>
      </c>
      <c r="F282" s="72" t="s">
        <v>134</v>
      </c>
      <c r="G282" s="22">
        <v>0</v>
      </c>
      <c r="H282" s="22">
        <v>355000</v>
      </c>
      <c r="I282" s="67">
        <f>SUM(K282:O282)+G282+H282</f>
        <v>1655000</v>
      </c>
      <c r="J282" s="23" t="s">
        <v>19</v>
      </c>
      <c r="K282" s="24">
        <f>SUM(K283:K285)</f>
        <v>300000</v>
      </c>
      <c r="L282" s="25">
        <f>SUM(L283:L285)</f>
        <v>250000</v>
      </c>
      <c r="M282" s="25">
        <f>SUM(M283:M285)</f>
        <v>250000</v>
      </c>
      <c r="N282" s="25">
        <f>SUM(N283:N285)</f>
        <v>250000</v>
      </c>
      <c r="O282" s="25">
        <f>SUM(O283:O285)</f>
        <v>250000</v>
      </c>
    </row>
    <row r="283" spans="1:15" ht="12.75" customHeight="1">
      <c r="A283" s="76"/>
      <c r="B283" s="73"/>
      <c r="C283" s="73"/>
      <c r="D283" s="79"/>
      <c r="E283" s="62"/>
      <c r="F283" s="73"/>
      <c r="G283" s="22"/>
      <c r="H283" s="22"/>
      <c r="I283" s="68"/>
      <c r="J283" s="26" t="s">
        <v>20</v>
      </c>
      <c r="K283" s="24">
        <v>300000</v>
      </c>
      <c r="L283" s="25">
        <v>250000</v>
      </c>
      <c r="M283" s="25">
        <v>250000</v>
      </c>
      <c r="N283" s="25">
        <v>250000</v>
      </c>
      <c r="O283" s="25">
        <v>250000</v>
      </c>
    </row>
    <row r="284" spans="1:15" ht="36" customHeight="1">
      <c r="A284" s="76"/>
      <c r="B284" s="73"/>
      <c r="C284" s="73"/>
      <c r="D284" s="79"/>
      <c r="E284" s="62"/>
      <c r="F284" s="73"/>
      <c r="G284" s="22"/>
      <c r="H284" s="22"/>
      <c r="I284" s="68"/>
      <c r="J284" s="27" t="s">
        <v>21</v>
      </c>
      <c r="K284" s="24"/>
      <c r="L284" s="25"/>
      <c r="M284" s="25"/>
      <c r="N284" s="25"/>
      <c r="O284" s="25"/>
    </row>
    <row r="285" spans="1:15" ht="12.75" customHeight="1">
      <c r="A285" s="77"/>
      <c r="B285" s="74"/>
      <c r="C285" s="74"/>
      <c r="D285" s="80"/>
      <c r="E285" s="63"/>
      <c r="F285" s="74"/>
      <c r="G285" s="22"/>
      <c r="H285" s="22"/>
      <c r="I285" s="69"/>
      <c r="J285" s="26" t="s">
        <v>22</v>
      </c>
      <c r="K285" s="24"/>
      <c r="L285" s="25"/>
      <c r="M285" s="25"/>
      <c r="N285" s="25"/>
      <c r="O285" s="25"/>
    </row>
    <row r="286" spans="1:15" ht="12.75" customHeight="1">
      <c r="A286" s="75">
        <v>36</v>
      </c>
      <c r="B286" s="72">
        <v>900</v>
      </c>
      <c r="C286" s="72">
        <v>90001</v>
      </c>
      <c r="D286" s="78" t="s">
        <v>135</v>
      </c>
      <c r="E286" s="61" t="s">
        <v>17</v>
      </c>
      <c r="F286" s="72">
        <v>2009</v>
      </c>
      <c r="G286" s="22">
        <v>0</v>
      </c>
      <c r="H286" s="22">
        <v>0</v>
      </c>
      <c r="I286" s="67">
        <f>SUM(K286:O286)+G286+H286</f>
        <v>800000</v>
      </c>
      <c r="J286" s="23" t="s">
        <v>19</v>
      </c>
      <c r="K286" s="24">
        <f>SUM(K287:K289)</f>
        <v>800000</v>
      </c>
      <c r="L286" s="25">
        <f>SUM(L287:L289)</f>
        <v>0</v>
      </c>
      <c r="M286" s="25">
        <f>SUM(M287:M289)</f>
        <v>0</v>
      </c>
      <c r="N286" s="25">
        <f>SUM(N287:N289)</f>
        <v>0</v>
      </c>
      <c r="O286" s="25">
        <f>SUM(O287:O289)</f>
        <v>0</v>
      </c>
    </row>
    <row r="287" spans="1:15" ht="12.75" customHeight="1">
      <c r="A287" s="76"/>
      <c r="B287" s="73"/>
      <c r="C287" s="73"/>
      <c r="D287" s="79"/>
      <c r="E287" s="62"/>
      <c r="F287" s="73"/>
      <c r="G287" s="22"/>
      <c r="H287" s="22"/>
      <c r="I287" s="68"/>
      <c r="J287" s="26" t="s">
        <v>20</v>
      </c>
      <c r="K287" s="24">
        <v>800000</v>
      </c>
      <c r="L287" s="25"/>
      <c r="M287" s="25"/>
      <c r="N287" s="25"/>
      <c r="O287" s="25"/>
    </row>
    <row r="288" spans="1:15" ht="12.75" customHeight="1">
      <c r="A288" s="76"/>
      <c r="B288" s="73"/>
      <c r="C288" s="73"/>
      <c r="D288" s="79"/>
      <c r="E288" s="62"/>
      <c r="F288" s="73"/>
      <c r="G288" s="22"/>
      <c r="H288" s="22"/>
      <c r="I288" s="68"/>
      <c r="J288" s="27" t="s">
        <v>21</v>
      </c>
      <c r="K288" s="24"/>
      <c r="L288" s="25"/>
      <c r="M288" s="25"/>
      <c r="N288" s="25"/>
      <c r="O288" s="25"/>
    </row>
    <row r="289" spans="1:15" ht="12.75" customHeight="1">
      <c r="A289" s="77"/>
      <c r="B289" s="74"/>
      <c r="C289" s="74"/>
      <c r="D289" s="80"/>
      <c r="E289" s="63"/>
      <c r="F289" s="74"/>
      <c r="G289" s="22"/>
      <c r="H289" s="22"/>
      <c r="I289" s="69"/>
      <c r="J289" s="26" t="s">
        <v>22</v>
      </c>
      <c r="K289" s="24"/>
      <c r="L289" s="25"/>
      <c r="M289" s="25"/>
      <c r="N289" s="25"/>
      <c r="O289" s="25"/>
    </row>
    <row r="290" spans="1:15" ht="12.75" customHeight="1">
      <c r="A290" s="75">
        <v>37</v>
      </c>
      <c r="B290" s="72">
        <v>900</v>
      </c>
      <c r="C290" s="72">
        <v>90001</v>
      </c>
      <c r="D290" s="78" t="s">
        <v>136</v>
      </c>
      <c r="E290" s="61" t="s">
        <v>17</v>
      </c>
      <c r="F290" s="72" t="s">
        <v>137</v>
      </c>
      <c r="G290" s="22">
        <v>29524</v>
      </c>
      <c r="H290" s="22">
        <v>550000</v>
      </c>
      <c r="I290" s="67">
        <f>SUM(K290:O290)+G290+H290</f>
        <v>2979524</v>
      </c>
      <c r="J290" s="23" t="s">
        <v>19</v>
      </c>
      <c r="K290" s="24">
        <f>SUM(K291:K293)</f>
        <v>900000</v>
      </c>
      <c r="L290" s="25">
        <f>SUM(L291:L293)</f>
        <v>0</v>
      </c>
      <c r="M290" s="25">
        <f>SUM(M291:M293)</f>
        <v>500000</v>
      </c>
      <c r="N290" s="25">
        <f>SUM(N291:N293)</f>
        <v>1000000</v>
      </c>
      <c r="O290" s="25">
        <f>SUM(O291:O293)</f>
        <v>0</v>
      </c>
    </row>
    <row r="291" spans="1:15" ht="15.75" customHeight="1">
      <c r="A291" s="76"/>
      <c r="B291" s="73"/>
      <c r="C291" s="73"/>
      <c r="D291" s="79"/>
      <c r="E291" s="62"/>
      <c r="F291" s="73"/>
      <c r="G291" s="22"/>
      <c r="H291" s="22"/>
      <c r="I291" s="68"/>
      <c r="J291" s="26" t="s">
        <v>20</v>
      </c>
      <c r="K291" s="24">
        <v>900000</v>
      </c>
      <c r="L291" s="25"/>
      <c r="M291" s="25">
        <v>125000</v>
      </c>
      <c r="N291" s="25">
        <v>250000</v>
      </c>
      <c r="O291" s="25"/>
    </row>
    <row r="292" spans="1:15" ht="13.5" customHeight="1">
      <c r="A292" s="76"/>
      <c r="B292" s="73"/>
      <c r="C292" s="73"/>
      <c r="D292" s="79"/>
      <c r="E292" s="62"/>
      <c r="F292" s="73"/>
      <c r="G292" s="22"/>
      <c r="H292" s="22"/>
      <c r="I292" s="68"/>
      <c r="J292" s="27" t="s">
        <v>21</v>
      </c>
      <c r="K292" s="24"/>
      <c r="L292" s="25"/>
      <c r="M292" s="25"/>
      <c r="N292" s="25"/>
      <c r="O292" s="25"/>
    </row>
    <row r="293" spans="1:15" ht="12.75" customHeight="1">
      <c r="A293" s="77"/>
      <c r="B293" s="74"/>
      <c r="C293" s="74"/>
      <c r="D293" s="80"/>
      <c r="E293" s="63"/>
      <c r="F293" s="74"/>
      <c r="G293" s="22"/>
      <c r="H293" s="22"/>
      <c r="I293" s="69"/>
      <c r="J293" s="26" t="s">
        <v>22</v>
      </c>
      <c r="K293" s="24"/>
      <c r="L293" s="25"/>
      <c r="M293" s="25">
        <v>375000</v>
      </c>
      <c r="N293" s="25">
        <v>750000</v>
      </c>
      <c r="O293" s="25"/>
    </row>
    <row r="294" spans="1:15" ht="12.75" customHeight="1">
      <c r="A294" s="75">
        <v>38</v>
      </c>
      <c r="B294" s="72">
        <v>900</v>
      </c>
      <c r="C294" s="72">
        <v>90004</v>
      </c>
      <c r="D294" s="78" t="s">
        <v>138</v>
      </c>
      <c r="E294" s="61" t="s">
        <v>17</v>
      </c>
      <c r="F294" s="72" t="s">
        <v>29</v>
      </c>
      <c r="G294" s="22">
        <v>198876</v>
      </c>
      <c r="H294" s="22">
        <v>1500000</v>
      </c>
      <c r="I294" s="67">
        <f>SUM(K294:O294)+G294+H294</f>
        <v>17498876</v>
      </c>
      <c r="J294" s="23" t="s">
        <v>19</v>
      </c>
      <c r="K294" s="24">
        <f>SUM(K295:K297)</f>
        <v>3500000</v>
      </c>
      <c r="L294" s="25">
        <f>SUM(L295:L297)</f>
        <v>3500000</v>
      </c>
      <c r="M294" s="25">
        <f>SUM(M295:M297)</f>
        <v>4000000</v>
      </c>
      <c r="N294" s="25">
        <f>SUM(N295:N297)</f>
        <v>2500000</v>
      </c>
      <c r="O294" s="25">
        <f>SUM(O295:O297)</f>
        <v>2300000</v>
      </c>
    </row>
    <row r="295" spans="1:15" ht="12.75" customHeight="1">
      <c r="A295" s="76"/>
      <c r="B295" s="73"/>
      <c r="C295" s="73"/>
      <c r="D295" s="79"/>
      <c r="E295" s="62"/>
      <c r="F295" s="73"/>
      <c r="G295" s="22"/>
      <c r="H295" s="22"/>
      <c r="I295" s="68"/>
      <c r="J295" s="26" t="s">
        <v>20</v>
      </c>
      <c r="K295" s="24">
        <f>375000+875000+500000</f>
        <v>1750000</v>
      </c>
      <c r="L295" s="25">
        <f>375000+875000+500000</f>
        <v>1750000</v>
      </c>
      <c r="M295" s="25">
        <f>375000+875000+750000</f>
        <v>2000000</v>
      </c>
      <c r="N295" s="25">
        <f>375000+875000</f>
        <v>1250000</v>
      </c>
      <c r="O295" s="25">
        <v>1150000</v>
      </c>
    </row>
    <row r="296" spans="1:15" ht="27" customHeight="1">
      <c r="A296" s="76"/>
      <c r="B296" s="73"/>
      <c r="C296" s="73"/>
      <c r="D296" s="79"/>
      <c r="E296" s="62"/>
      <c r="F296" s="73"/>
      <c r="G296" s="22"/>
      <c r="H296" s="22"/>
      <c r="I296" s="68"/>
      <c r="J296" s="27" t="s">
        <v>21</v>
      </c>
      <c r="K296" s="24"/>
      <c r="L296" s="25"/>
      <c r="M296" s="25"/>
      <c r="N296" s="25"/>
      <c r="O296" s="25"/>
    </row>
    <row r="297" spans="1:15" ht="12.75" customHeight="1">
      <c r="A297" s="77"/>
      <c r="B297" s="74"/>
      <c r="C297" s="74"/>
      <c r="D297" s="80"/>
      <c r="E297" s="63"/>
      <c r="F297" s="74"/>
      <c r="G297" s="22"/>
      <c r="H297" s="22"/>
      <c r="I297" s="69"/>
      <c r="J297" s="26" t="s">
        <v>22</v>
      </c>
      <c r="K297" s="24">
        <f>2125000-875000+500000</f>
        <v>1750000</v>
      </c>
      <c r="L297" s="25">
        <f>2125000-875000+500000</f>
        <v>1750000</v>
      </c>
      <c r="M297" s="25">
        <f>2125000-875000+750000</f>
        <v>2000000</v>
      </c>
      <c r="N297" s="25">
        <f>2125000-875000</f>
        <v>1250000</v>
      </c>
      <c r="O297" s="25">
        <v>1150000</v>
      </c>
    </row>
    <row r="298" spans="1:15" ht="12.75" customHeight="1">
      <c r="A298" s="75">
        <v>39</v>
      </c>
      <c r="B298" s="72">
        <v>900</v>
      </c>
      <c r="C298" s="72">
        <v>90001</v>
      </c>
      <c r="D298" s="84" t="s">
        <v>139</v>
      </c>
      <c r="E298" s="61" t="s">
        <v>17</v>
      </c>
      <c r="F298" s="64" t="s">
        <v>54</v>
      </c>
      <c r="G298" s="28">
        <v>0</v>
      </c>
      <c r="H298" s="28">
        <v>0</v>
      </c>
      <c r="I298" s="67">
        <f>SUM(K298:O298)+G298+H298</f>
        <v>1260000</v>
      </c>
      <c r="J298" s="23" t="s">
        <v>19</v>
      </c>
      <c r="K298" s="25">
        <f>SUM(K299:K301)</f>
        <v>0</v>
      </c>
      <c r="L298" s="25">
        <f>SUM(L299:L301)</f>
        <v>1260000</v>
      </c>
      <c r="M298" s="25">
        <f>SUM(M299:M301)</f>
        <v>0</v>
      </c>
      <c r="N298" s="25">
        <f>SUM(N299:N301)</f>
        <v>0</v>
      </c>
      <c r="O298" s="25">
        <f>SUM(O299:O301)</f>
        <v>0</v>
      </c>
    </row>
    <row r="299" spans="1:15" ht="25.5" customHeight="1">
      <c r="A299" s="76"/>
      <c r="B299" s="73"/>
      <c r="C299" s="73"/>
      <c r="D299" s="85"/>
      <c r="E299" s="62"/>
      <c r="F299" s="70"/>
      <c r="G299" s="28"/>
      <c r="H299" s="28"/>
      <c r="I299" s="68"/>
      <c r="J299" s="26" t="s">
        <v>20</v>
      </c>
      <c r="K299" s="25"/>
      <c r="L299" s="25">
        <v>1260000</v>
      </c>
      <c r="M299" s="25"/>
      <c r="N299" s="25"/>
      <c r="O299" s="25"/>
    </row>
    <row r="300" spans="1:15" ht="36" customHeight="1">
      <c r="A300" s="76"/>
      <c r="B300" s="73"/>
      <c r="C300" s="73"/>
      <c r="D300" s="85"/>
      <c r="E300" s="62"/>
      <c r="F300" s="70"/>
      <c r="G300" s="28"/>
      <c r="H300" s="28"/>
      <c r="I300" s="68"/>
      <c r="J300" s="27" t="s">
        <v>21</v>
      </c>
      <c r="K300" s="25"/>
      <c r="L300" s="25"/>
      <c r="M300" s="25"/>
      <c r="N300" s="25"/>
      <c r="O300" s="25"/>
    </row>
    <row r="301" spans="1:15" ht="12.75" customHeight="1">
      <c r="A301" s="77"/>
      <c r="B301" s="74"/>
      <c r="C301" s="74"/>
      <c r="D301" s="86"/>
      <c r="E301" s="63"/>
      <c r="F301" s="71"/>
      <c r="G301" s="28"/>
      <c r="H301" s="28"/>
      <c r="I301" s="69"/>
      <c r="J301" s="26" t="s">
        <v>22</v>
      </c>
      <c r="K301" s="25"/>
      <c r="L301" s="25"/>
      <c r="M301" s="25"/>
      <c r="N301" s="25"/>
      <c r="O301" s="25"/>
    </row>
    <row r="302" spans="1:15" ht="12.75" customHeight="1">
      <c r="A302" s="75">
        <v>40</v>
      </c>
      <c r="B302" s="72">
        <v>900</v>
      </c>
      <c r="C302" s="72">
        <v>90001</v>
      </c>
      <c r="D302" s="78" t="s">
        <v>140</v>
      </c>
      <c r="E302" s="61" t="s">
        <v>17</v>
      </c>
      <c r="F302" s="72" t="s">
        <v>129</v>
      </c>
      <c r="G302" s="22">
        <v>0</v>
      </c>
      <c r="H302" s="22">
        <v>0</v>
      </c>
      <c r="I302" s="67">
        <f>SUM(K302:O302)+G302+H302</f>
        <v>980000</v>
      </c>
      <c r="J302" s="23" t="s">
        <v>19</v>
      </c>
      <c r="K302" s="25">
        <f>SUM(K303:K305)</f>
        <v>0</v>
      </c>
      <c r="L302" s="25">
        <f>SUM(L303:L305)</f>
        <v>100000</v>
      </c>
      <c r="M302" s="25">
        <f>SUM(M303:M305)</f>
        <v>320000</v>
      </c>
      <c r="N302" s="25">
        <f>SUM(N303:N305)</f>
        <v>320000</v>
      </c>
      <c r="O302" s="25">
        <f>SUM(O303:O305)</f>
        <v>240000</v>
      </c>
    </row>
    <row r="303" spans="1:15" ht="12.75" customHeight="1">
      <c r="A303" s="76"/>
      <c r="B303" s="73"/>
      <c r="C303" s="73"/>
      <c r="D303" s="79"/>
      <c r="E303" s="62"/>
      <c r="F303" s="73"/>
      <c r="G303" s="22"/>
      <c r="H303" s="22"/>
      <c r="I303" s="68"/>
      <c r="J303" s="26" t="s">
        <v>20</v>
      </c>
      <c r="K303" s="25"/>
      <c r="L303" s="25">
        <v>100000</v>
      </c>
      <c r="M303" s="25">
        <v>320000</v>
      </c>
      <c r="N303" s="25">
        <v>320000</v>
      </c>
      <c r="O303" s="25">
        <v>240000</v>
      </c>
    </row>
    <row r="304" spans="1:15" ht="36" customHeight="1">
      <c r="A304" s="76"/>
      <c r="B304" s="73"/>
      <c r="C304" s="73"/>
      <c r="D304" s="79"/>
      <c r="E304" s="62"/>
      <c r="F304" s="73"/>
      <c r="G304" s="22"/>
      <c r="H304" s="22"/>
      <c r="I304" s="68"/>
      <c r="J304" s="27" t="s">
        <v>21</v>
      </c>
      <c r="K304" s="25"/>
      <c r="L304" s="25"/>
      <c r="M304" s="25"/>
      <c r="N304" s="25"/>
      <c r="O304" s="25"/>
    </row>
    <row r="305" spans="1:15" ht="12.75" customHeight="1">
      <c r="A305" s="77"/>
      <c r="B305" s="74"/>
      <c r="C305" s="74"/>
      <c r="D305" s="80"/>
      <c r="E305" s="63"/>
      <c r="F305" s="74"/>
      <c r="G305" s="22"/>
      <c r="H305" s="22"/>
      <c r="I305" s="69"/>
      <c r="J305" s="26" t="s">
        <v>22</v>
      </c>
      <c r="K305" s="25"/>
      <c r="L305" s="25"/>
      <c r="M305" s="25"/>
      <c r="N305" s="25"/>
      <c r="O305" s="25"/>
    </row>
    <row r="306" spans="1:15" ht="12.75" customHeight="1">
      <c r="A306" s="75">
        <v>41</v>
      </c>
      <c r="B306" s="72">
        <v>900</v>
      </c>
      <c r="C306" s="72">
        <v>90001</v>
      </c>
      <c r="D306" s="78" t="s">
        <v>141</v>
      </c>
      <c r="E306" s="61" t="s">
        <v>17</v>
      </c>
      <c r="F306" s="64" t="s">
        <v>129</v>
      </c>
      <c r="G306" s="28">
        <v>0</v>
      </c>
      <c r="H306" s="28">
        <v>0</v>
      </c>
      <c r="I306" s="67">
        <f>SUM(K306:O306)+G306+H306</f>
        <v>2800000</v>
      </c>
      <c r="J306" s="23" t="s">
        <v>19</v>
      </c>
      <c r="K306" s="25">
        <f>SUM(K307:K309)</f>
        <v>0</v>
      </c>
      <c r="L306" s="25">
        <f>SUM(L307:L309)</f>
        <v>100000</v>
      </c>
      <c r="M306" s="25">
        <f>SUM(M307:M309)</f>
        <v>700000</v>
      </c>
      <c r="N306" s="25">
        <f>SUM(N307:N309)</f>
        <v>700000</v>
      </c>
      <c r="O306" s="25">
        <f>SUM(O307:O309)</f>
        <v>1300000</v>
      </c>
    </row>
    <row r="307" spans="1:15" ht="12.75" customHeight="1">
      <c r="A307" s="76"/>
      <c r="B307" s="73"/>
      <c r="C307" s="73"/>
      <c r="D307" s="79"/>
      <c r="E307" s="62"/>
      <c r="F307" s="70"/>
      <c r="G307" s="28"/>
      <c r="H307" s="28"/>
      <c r="I307" s="68"/>
      <c r="J307" s="26" t="s">
        <v>20</v>
      </c>
      <c r="K307" s="25"/>
      <c r="L307" s="25">
        <v>100000</v>
      </c>
      <c r="M307" s="25">
        <v>700000</v>
      </c>
      <c r="N307" s="25">
        <v>700000</v>
      </c>
      <c r="O307" s="25">
        <v>1300000</v>
      </c>
    </row>
    <row r="308" spans="1:15" ht="36" customHeight="1">
      <c r="A308" s="76"/>
      <c r="B308" s="73"/>
      <c r="C308" s="73"/>
      <c r="D308" s="79"/>
      <c r="E308" s="62"/>
      <c r="F308" s="70"/>
      <c r="G308" s="28"/>
      <c r="H308" s="28"/>
      <c r="I308" s="68"/>
      <c r="J308" s="27" t="s">
        <v>21</v>
      </c>
      <c r="K308" s="25"/>
      <c r="L308" s="25"/>
      <c r="M308" s="25"/>
      <c r="N308" s="25"/>
      <c r="O308" s="25"/>
    </row>
    <row r="309" spans="1:15" ht="33.75" customHeight="1">
      <c r="A309" s="77"/>
      <c r="B309" s="74"/>
      <c r="C309" s="74"/>
      <c r="D309" s="80"/>
      <c r="E309" s="63"/>
      <c r="F309" s="71"/>
      <c r="G309" s="28"/>
      <c r="H309" s="28"/>
      <c r="I309" s="69"/>
      <c r="J309" s="26" t="s">
        <v>22</v>
      </c>
      <c r="K309" s="25"/>
      <c r="L309" s="25"/>
      <c r="M309" s="25"/>
      <c r="N309" s="25"/>
      <c r="O309" s="25"/>
    </row>
    <row r="310" spans="1:15" ht="22.5" customHeight="1">
      <c r="A310" s="75">
        <v>42</v>
      </c>
      <c r="B310" s="72">
        <v>900</v>
      </c>
      <c r="C310" s="72">
        <v>90001</v>
      </c>
      <c r="D310" s="78" t="s">
        <v>142</v>
      </c>
      <c r="E310" s="61" t="s">
        <v>17</v>
      </c>
      <c r="F310" s="72" t="s">
        <v>129</v>
      </c>
      <c r="G310" s="22">
        <v>0</v>
      </c>
      <c r="H310" s="22">
        <v>0</v>
      </c>
      <c r="I310" s="67">
        <f>SUM(K310:O310)+G310+H310</f>
        <v>2030000</v>
      </c>
      <c r="J310" s="23" t="s">
        <v>19</v>
      </c>
      <c r="K310" s="25">
        <f>SUM(K311:K313)</f>
        <v>0</v>
      </c>
      <c r="L310" s="25">
        <f>SUM(L311:L313)</f>
        <v>150000</v>
      </c>
      <c r="M310" s="25">
        <f>SUM(M311:M313)</f>
        <v>780000</v>
      </c>
      <c r="N310" s="25">
        <f>SUM(N311:N313)</f>
        <v>700000</v>
      </c>
      <c r="O310" s="25">
        <f>SUM(O311:O313)</f>
        <v>400000</v>
      </c>
    </row>
    <row r="311" spans="1:15" ht="12.75" customHeight="1">
      <c r="A311" s="76"/>
      <c r="B311" s="73"/>
      <c r="C311" s="73"/>
      <c r="D311" s="79"/>
      <c r="E311" s="62"/>
      <c r="F311" s="73"/>
      <c r="G311" s="22"/>
      <c r="H311" s="22"/>
      <c r="I311" s="68"/>
      <c r="J311" s="26" t="s">
        <v>20</v>
      </c>
      <c r="K311" s="25"/>
      <c r="L311" s="25">
        <v>150000</v>
      </c>
      <c r="M311" s="25">
        <v>780000</v>
      </c>
      <c r="N311" s="25">
        <v>700000</v>
      </c>
      <c r="O311" s="25">
        <v>400000</v>
      </c>
    </row>
    <row r="312" spans="1:15" ht="36" customHeight="1">
      <c r="A312" s="76"/>
      <c r="B312" s="73"/>
      <c r="C312" s="73"/>
      <c r="D312" s="79"/>
      <c r="E312" s="62"/>
      <c r="F312" s="73"/>
      <c r="G312" s="22"/>
      <c r="H312" s="22"/>
      <c r="I312" s="68"/>
      <c r="J312" s="27" t="s">
        <v>21</v>
      </c>
      <c r="K312" s="25"/>
      <c r="L312" s="25"/>
      <c r="M312" s="25"/>
      <c r="N312" s="25"/>
      <c r="O312" s="25"/>
    </row>
    <row r="313" spans="1:15" ht="12.75" customHeight="1">
      <c r="A313" s="77"/>
      <c r="B313" s="74"/>
      <c r="C313" s="74"/>
      <c r="D313" s="80"/>
      <c r="E313" s="63"/>
      <c r="F313" s="74"/>
      <c r="G313" s="22"/>
      <c r="H313" s="22"/>
      <c r="I313" s="69"/>
      <c r="J313" s="26" t="s">
        <v>22</v>
      </c>
      <c r="K313" s="25"/>
      <c r="L313" s="25"/>
      <c r="M313" s="25"/>
      <c r="N313" s="25"/>
      <c r="O313" s="25"/>
    </row>
    <row r="314" spans="1:15" ht="12.75" customHeight="1">
      <c r="A314" s="75">
        <v>43</v>
      </c>
      <c r="B314" s="72">
        <v>900</v>
      </c>
      <c r="C314" s="72">
        <v>90001</v>
      </c>
      <c r="D314" s="78" t="s">
        <v>143</v>
      </c>
      <c r="E314" s="61" t="s">
        <v>17</v>
      </c>
      <c r="F314" s="64" t="s">
        <v>144</v>
      </c>
      <c r="G314" s="28">
        <v>0</v>
      </c>
      <c r="H314" s="28">
        <v>50000</v>
      </c>
      <c r="I314" s="67">
        <f>SUM(K314:O314)+G314+H314</f>
        <v>2100000</v>
      </c>
      <c r="J314" s="23" t="s">
        <v>19</v>
      </c>
      <c r="K314" s="25">
        <f>SUM(K315:K317)</f>
        <v>0</v>
      </c>
      <c r="L314" s="25">
        <f>SUM(L315:L317)</f>
        <v>250000</v>
      </c>
      <c r="M314" s="25">
        <f>SUM(M315:M317)</f>
        <v>600000</v>
      </c>
      <c r="N314" s="25">
        <f>SUM(N315:N317)</f>
        <v>600000</v>
      </c>
      <c r="O314" s="25">
        <f>SUM(O315:O317)</f>
        <v>600000</v>
      </c>
    </row>
    <row r="315" spans="1:15" ht="45" customHeight="1">
      <c r="A315" s="76"/>
      <c r="B315" s="73"/>
      <c r="C315" s="73"/>
      <c r="D315" s="79"/>
      <c r="E315" s="62"/>
      <c r="F315" s="70"/>
      <c r="G315" s="28"/>
      <c r="H315" s="28"/>
      <c r="I315" s="68"/>
      <c r="J315" s="26" t="s">
        <v>20</v>
      </c>
      <c r="K315" s="25"/>
      <c r="L315" s="25">
        <f>200000+50000</f>
        <v>250000</v>
      </c>
      <c r="M315" s="25">
        <v>600000</v>
      </c>
      <c r="N315" s="25">
        <v>600000</v>
      </c>
      <c r="O315" s="25">
        <v>600000</v>
      </c>
    </row>
    <row r="316" spans="1:15" ht="36" customHeight="1">
      <c r="A316" s="76"/>
      <c r="B316" s="73"/>
      <c r="C316" s="73"/>
      <c r="D316" s="79"/>
      <c r="E316" s="62"/>
      <c r="F316" s="70"/>
      <c r="G316" s="28"/>
      <c r="H316" s="28"/>
      <c r="I316" s="68"/>
      <c r="J316" s="27" t="s">
        <v>21</v>
      </c>
      <c r="K316" s="25"/>
      <c r="L316" s="25"/>
      <c r="M316" s="25"/>
      <c r="N316" s="25"/>
      <c r="O316" s="25"/>
    </row>
    <row r="317" spans="1:15" ht="12.75" customHeight="1">
      <c r="A317" s="77"/>
      <c r="B317" s="74"/>
      <c r="C317" s="74"/>
      <c r="D317" s="80"/>
      <c r="E317" s="63"/>
      <c r="F317" s="71"/>
      <c r="G317" s="28"/>
      <c r="H317" s="28"/>
      <c r="I317" s="69"/>
      <c r="J317" s="26" t="s">
        <v>22</v>
      </c>
      <c r="K317" s="25"/>
      <c r="L317" s="25"/>
      <c r="M317" s="25"/>
      <c r="N317" s="25"/>
      <c r="O317" s="25"/>
    </row>
    <row r="318" spans="1:15" ht="12.75" customHeight="1">
      <c r="A318" s="75">
        <v>44</v>
      </c>
      <c r="B318" s="72">
        <v>900</v>
      </c>
      <c r="C318" s="72">
        <v>90001</v>
      </c>
      <c r="D318" s="78" t="s">
        <v>145</v>
      </c>
      <c r="E318" s="61" t="s">
        <v>17</v>
      </c>
      <c r="F318" s="72" t="s">
        <v>129</v>
      </c>
      <c r="G318" s="22">
        <v>0</v>
      </c>
      <c r="H318" s="22">
        <v>0</v>
      </c>
      <c r="I318" s="67">
        <f>SUM(K318:O318)+G318+H318</f>
        <v>840000</v>
      </c>
      <c r="J318" s="23" t="s">
        <v>19</v>
      </c>
      <c r="K318" s="25">
        <f>SUM(K319:K321)</f>
        <v>0</v>
      </c>
      <c r="L318" s="25">
        <f>SUM(L319:L321)</f>
        <v>70000</v>
      </c>
      <c r="M318" s="25">
        <f>SUM(M319:M321)</f>
        <v>200000</v>
      </c>
      <c r="N318" s="25">
        <f>SUM(N319:N321)</f>
        <v>250000</v>
      </c>
      <c r="O318" s="25">
        <f>SUM(O319:O321)</f>
        <v>320000</v>
      </c>
    </row>
    <row r="319" spans="1:15" ht="12.75" customHeight="1">
      <c r="A319" s="76"/>
      <c r="B319" s="73"/>
      <c r="C319" s="73"/>
      <c r="D319" s="79"/>
      <c r="E319" s="62"/>
      <c r="F319" s="73"/>
      <c r="G319" s="22"/>
      <c r="H319" s="22"/>
      <c r="I319" s="68"/>
      <c r="J319" s="26" t="s">
        <v>20</v>
      </c>
      <c r="K319" s="25"/>
      <c r="L319" s="25">
        <v>70000</v>
      </c>
      <c r="M319" s="25">
        <v>200000</v>
      </c>
      <c r="N319" s="25">
        <v>250000</v>
      </c>
      <c r="O319" s="25">
        <v>320000</v>
      </c>
    </row>
    <row r="320" spans="1:15" ht="36" customHeight="1">
      <c r="A320" s="76"/>
      <c r="B320" s="73"/>
      <c r="C320" s="73"/>
      <c r="D320" s="79"/>
      <c r="E320" s="62"/>
      <c r="F320" s="73"/>
      <c r="G320" s="22"/>
      <c r="H320" s="22"/>
      <c r="I320" s="68"/>
      <c r="J320" s="27" t="s">
        <v>21</v>
      </c>
      <c r="K320" s="25"/>
      <c r="L320" s="25"/>
      <c r="M320" s="25"/>
      <c r="N320" s="25"/>
      <c r="O320" s="25"/>
    </row>
    <row r="321" spans="1:15" ht="12.75" customHeight="1">
      <c r="A321" s="77"/>
      <c r="B321" s="74"/>
      <c r="C321" s="74"/>
      <c r="D321" s="80"/>
      <c r="E321" s="63"/>
      <c r="F321" s="74"/>
      <c r="G321" s="22"/>
      <c r="H321" s="22"/>
      <c r="I321" s="69"/>
      <c r="J321" s="26" t="s">
        <v>22</v>
      </c>
      <c r="K321" s="25"/>
      <c r="L321" s="25"/>
      <c r="M321" s="25"/>
      <c r="N321" s="25"/>
      <c r="O321" s="25"/>
    </row>
    <row r="322" spans="1:15" ht="12.75" customHeight="1">
      <c r="A322" s="75">
        <v>45</v>
      </c>
      <c r="B322" s="72">
        <v>900</v>
      </c>
      <c r="C322" s="72">
        <v>90001</v>
      </c>
      <c r="D322" s="78" t="s">
        <v>146</v>
      </c>
      <c r="E322" s="61" t="s">
        <v>17</v>
      </c>
      <c r="F322" s="72" t="s">
        <v>115</v>
      </c>
      <c r="G322" s="22">
        <v>0</v>
      </c>
      <c r="H322" s="22">
        <v>0</v>
      </c>
      <c r="I322" s="67">
        <f>SUM(K322:O322)+G322+H322</f>
        <v>2100000</v>
      </c>
      <c r="J322" s="23" t="s">
        <v>19</v>
      </c>
      <c r="K322" s="24">
        <f>SUM(K323:K325)</f>
        <v>70000</v>
      </c>
      <c r="L322" s="25">
        <f>SUM(L323:L325)</f>
        <v>150000</v>
      </c>
      <c r="M322" s="25">
        <f>SUM(M323:M325)</f>
        <v>780000</v>
      </c>
      <c r="N322" s="25">
        <f>SUM(N323:N325)</f>
        <v>1100000</v>
      </c>
      <c r="O322" s="25">
        <f>SUM(O323:O325)</f>
        <v>0</v>
      </c>
    </row>
    <row r="323" spans="1:15" ht="12.75" customHeight="1">
      <c r="A323" s="76"/>
      <c r="B323" s="73"/>
      <c r="C323" s="73"/>
      <c r="D323" s="79"/>
      <c r="E323" s="62"/>
      <c r="F323" s="73"/>
      <c r="G323" s="22"/>
      <c r="H323" s="22"/>
      <c r="I323" s="68"/>
      <c r="J323" s="26" t="s">
        <v>20</v>
      </c>
      <c r="K323" s="24">
        <f>70000</f>
        <v>70000</v>
      </c>
      <c r="L323" s="25">
        <v>150000</v>
      </c>
      <c r="M323" s="25">
        <v>780000</v>
      </c>
      <c r="N323" s="25">
        <v>1100000</v>
      </c>
      <c r="O323" s="25"/>
    </row>
    <row r="324" spans="1:15" ht="36" customHeight="1">
      <c r="A324" s="76"/>
      <c r="B324" s="73"/>
      <c r="C324" s="73"/>
      <c r="D324" s="79"/>
      <c r="E324" s="62"/>
      <c r="F324" s="73"/>
      <c r="G324" s="22"/>
      <c r="H324" s="22"/>
      <c r="I324" s="68"/>
      <c r="J324" s="27" t="s">
        <v>21</v>
      </c>
      <c r="K324" s="24"/>
      <c r="L324" s="25"/>
      <c r="M324" s="25"/>
      <c r="N324" s="25"/>
      <c r="O324" s="25"/>
    </row>
    <row r="325" spans="1:15" ht="12.75" customHeight="1">
      <c r="A325" s="77"/>
      <c r="B325" s="74"/>
      <c r="C325" s="74"/>
      <c r="D325" s="80"/>
      <c r="E325" s="63"/>
      <c r="F325" s="74"/>
      <c r="G325" s="22"/>
      <c r="H325" s="22"/>
      <c r="I325" s="69"/>
      <c r="J325" s="26" t="s">
        <v>22</v>
      </c>
      <c r="K325" s="24"/>
      <c r="L325" s="25"/>
      <c r="M325" s="25"/>
      <c r="N325" s="25"/>
      <c r="O325" s="25"/>
    </row>
    <row r="326" spans="1:15" ht="12.75" customHeight="1">
      <c r="A326" s="75">
        <v>46</v>
      </c>
      <c r="B326" s="72">
        <v>921</v>
      </c>
      <c r="C326" s="72">
        <v>92120</v>
      </c>
      <c r="D326" s="78" t="s">
        <v>147</v>
      </c>
      <c r="E326" s="61" t="s">
        <v>17</v>
      </c>
      <c r="F326" s="64" t="s">
        <v>112</v>
      </c>
      <c r="G326" s="28">
        <v>0</v>
      </c>
      <c r="H326" s="28">
        <v>225000</v>
      </c>
      <c r="I326" s="67">
        <f>SUM(K326:O326)+G326+H326</f>
        <v>12425000</v>
      </c>
      <c r="J326" s="23" t="s">
        <v>19</v>
      </c>
      <c r="K326" s="24">
        <f>SUM(K327:K329)</f>
        <v>200000</v>
      </c>
      <c r="L326" s="25">
        <f>SUM(L327:L329)</f>
        <v>3500000</v>
      </c>
      <c r="M326" s="25">
        <f>SUM(M327:M329)</f>
        <v>5500000</v>
      </c>
      <c r="N326" s="25">
        <f>SUM(N327:N329)</f>
        <v>3000000</v>
      </c>
      <c r="O326" s="25">
        <f>SUM(O327:O329)</f>
        <v>0</v>
      </c>
    </row>
    <row r="327" spans="1:15" ht="12.75" customHeight="1">
      <c r="A327" s="76"/>
      <c r="B327" s="73"/>
      <c r="C327" s="73"/>
      <c r="D327" s="79"/>
      <c r="E327" s="62"/>
      <c r="F327" s="70"/>
      <c r="G327" s="28"/>
      <c r="H327" s="28"/>
      <c r="I327" s="68"/>
      <c r="J327" s="26" t="s">
        <v>20</v>
      </c>
      <c r="K327" s="24">
        <v>200000</v>
      </c>
      <c r="L327" s="25">
        <v>525000</v>
      </c>
      <c r="M327" s="25">
        <v>825000</v>
      </c>
      <c r="N327" s="25">
        <v>450000</v>
      </c>
      <c r="O327" s="25"/>
    </row>
    <row r="328" spans="1:15" ht="36" customHeight="1">
      <c r="A328" s="76"/>
      <c r="B328" s="73"/>
      <c r="C328" s="73"/>
      <c r="D328" s="79"/>
      <c r="E328" s="62"/>
      <c r="F328" s="70"/>
      <c r="G328" s="28"/>
      <c r="H328" s="28"/>
      <c r="I328" s="68"/>
      <c r="J328" s="27" t="s">
        <v>21</v>
      </c>
      <c r="K328" s="24"/>
      <c r="L328" s="25"/>
      <c r="M328" s="25"/>
      <c r="N328" s="25"/>
      <c r="O328" s="25"/>
    </row>
    <row r="329" spans="1:15" ht="12.75" customHeight="1">
      <c r="A329" s="77"/>
      <c r="B329" s="74"/>
      <c r="C329" s="74"/>
      <c r="D329" s="80"/>
      <c r="E329" s="63"/>
      <c r="F329" s="71"/>
      <c r="G329" s="28"/>
      <c r="H329" s="28"/>
      <c r="I329" s="69"/>
      <c r="J329" s="26" t="s">
        <v>22</v>
      </c>
      <c r="K329" s="24"/>
      <c r="L329" s="25">
        <v>2975000</v>
      </c>
      <c r="M329" s="25">
        <v>4675000</v>
      </c>
      <c r="N329" s="25">
        <v>2550000</v>
      </c>
      <c r="O329" s="25"/>
    </row>
    <row r="330" spans="1:15" ht="12.75" customHeight="1">
      <c r="A330" s="75">
        <v>47</v>
      </c>
      <c r="B330" s="72">
        <v>921</v>
      </c>
      <c r="C330" s="72">
        <v>92195</v>
      </c>
      <c r="D330" s="78" t="s">
        <v>148</v>
      </c>
      <c r="E330" s="61" t="s">
        <v>17</v>
      </c>
      <c r="F330" s="72" t="s">
        <v>34</v>
      </c>
      <c r="G330" s="22">
        <f>7811381+413687.61</f>
        <v>8225068.61</v>
      </c>
      <c r="H330" s="22">
        <v>6853283.6</v>
      </c>
      <c r="I330" s="67">
        <f>SUM(K330:O330)+G330+H330</f>
        <v>28404012.21</v>
      </c>
      <c r="J330" s="23" t="s">
        <v>19</v>
      </c>
      <c r="K330" s="24">
        <f>SUM(K331:K333)</f>
        <v>8000000</v>
      </c>
      <c r="L330" s="25">
        <f>SUM(L331:L333)</f>
        <v>5325660</v>
      </c>
      <c r="M330" s="25">
        <f>SUM(M331:M333)</f>
        <v>0</v>
      </c>
      <c r="N330" s="25">
        <f>SUM(N331:N333)</f>
        <v>0</v>
      </c>
      <c r="O330" s="25">
        <f>SUM(O331:O333)</f>
        <v>0</v>
      </c>
    </row>
    <row r="331" spans="1:15" ht="12.75" customHeight="1">
      <c r="A331" s="76"/>
      <c r="B331" s="73"/>
      <c r="C331" s="73"/>
      <c r="D331" s="79"/>
      <c r="E331" s="62"/>
      <c r="F331" s="73"/>
      <c r="G331" s="22"/>
      <c r="H331" s="22"/>
      <c r="I331" s="68"/>
      <c r="J331" s="26" t="s">
        <v>20</v>
      </c>
      <c r="K331" s="24">
        <f>8000000*0.25</f>
        <v>2000000</v>
      </c>
      <c r="L331" s="25">
        <f>4000000*0.25+994245/3</f>
        <v>1331415</v>
      </c>
      <c r="M331" s="25"/>
      <c r="N331" s="25"/>
      <c r="O331" s="25"/>
    </row>
    <row r="332" spans="1:15" ht="36" customHeight="1">
      <c r="A332" s="76"/>
      <c r="B332" s="73"/>
      <c r="C332" s="73"/>
      <c r="D332" s="79"/>
      <c r="E332" s="62"/>
      <c r="F332" s="73"/>
      <c r="G332" s="22"/>
      <c r="H332" s="22"/>
      <c r="I332" s="68"/>
      <c r="J332" s="27" t="s">
        <v>21</v>
      </c>
      <c r="K332" s="24"/>
      <c r="L332" s="25"/>
      <c r="M332" s="25"/>
      <c r="N332" s="25"/>
      <c r="O332" s="25"/>
    </row>
    <row r="333" spans="1:16" ht="12.75" customHeight="1">
      <c r="A333" s="77"/>
      <c r="B333" s="74"/>
      <c r="C333" s="74"/>
      <c r="D333" s="80"/>
      <c r="E333" s="63"/>
      <c r="F333" s="74"/>
      <c r="G333" s="22"/>
      <c r="H333" s="22">
        <f>142740*0.75</f>
        <v>107055</v>
      </c>
      <c r="I333" s="69"/>
      <c r="J333" s="26" t="s">
        <v>22</v>
      </c>
      <c r="K333" s="24">
        <f>8000000*0.75</f>
        <v>6000000</v>
      </c>
      <c r="L333" s="25">
        <f>4000000*0.75+994245</f>
        <v>3994245</v>
      </c>
      <c r="M333" s="25"/>
      <c r="N333" s="25"/>
      <c r="O333" s="25"/>
      <c r="P333" s="3"/>
    </row>
    <row r="334" spans="1:15" ht="12.75" customHeight="1">
      <c r="A334" s="75">
        <v>48</v>
      </c>
      <c r="B334" s="72">
        <v>926</v>
      </c>
      <c r="C334" s="72">
        <v>92695</v>
      </c>
      <c r="D334" s="78" t="s">
        <v>149</v>
      </c>
      <c r="E334" s="61" t="s">
        <v>17</v>
      </c>
      <c r="F334" s="72" t="s">
        <v>150</v>
      </c>
      <c r="G334" s="22">
        <v>445208</v>
      </c>
      <c r="H334" s="22">
        <v>597600</v>
      </c>
      <c r="I334" s="67">
        <f>SUM(K334:O334)+G334+H334</f>
        <v>33671000</v>
      </c>
      <c r="J334" s="23" t="s">
        <v>19</v>
      </c>
      <c r="K334" s="24">
        <f>SUM(K335:K337)</f>
        <v>10000000</v>
      </c>
      <c r="L334" s="25">
        <f>SUM(L335:L337)</f>
        <v>11628192</v>
      </c>
      <c r="M334" s="25">
        <f>SUM(M335:M337)</f>
        <v>11000000</v>
      </c>
      <c r="N334" s="25">
        <f>SUM(N335:N337)</f>
        <v>0</v>
      </c>
      <c r="O334" s="25">
        <f>SUM(O335:O337)</f>
        <v>0</v>
      </c>
    </row>
    <row r="335" spans="1:15" ht="12.75" customHeight="1">
      <c r="A335" s="76"/>
      <c r="B335" s="73"/>
      <c r="C335" s="73"/>
      <c r="D335" s="79"/>
      <c r="E335" s="62"/>
      <c r="F335" s="73"/>
      <c r="G335" s="22"/>
      <c r="H335" s="22"/>
      <c r="I335" s="68"/>
      <c r="J335" s="26" t="s">
        <v>20</v>
      </c>
      <c r="K335" s="24">
        <v>6000000</v>
      </c>
      <c r="L335" s="25">
        <f>6000000+651276.8*1.5</f>
        <v>6976915.2</v>
      </c>
      <c r="M335" s="25">
        <f>9500000*0.6+600000*1.5</f>
        <v>6600000</v>
      </c>
      <c r="N335" s="25"/>
      <c r="O335" s="25"/>
    </row>
    <row r="336" spans="1:15" ht="36" customHeight="1">
      <c r="A336" s="76"/>
      <c r="B336" s="73"/>
      <c r="C336" s="73"/>
      <c r="D336" s="79"/>
      <c r="E336" s="62"/>
      <c r="F336" s="73"/>
      <c r="G336" s="22"/>
      <c r="H336" s="22"/>
      <c r="I336" s="68"/>
      <c r="J336" s="27" t="s">
        <v>21</v>
      </c>
      <c r="K336" s="24"/>
      <c r="L336" s="25"/>
      <c r="M336" s="25"/>
      <c r="N336" s="25"/>
      <c r="O336" s="25"/>
    </row>
    <row r="337" spans="1:16" ht="12.75" customHeight="1">
      <c r="A337" s="77"/>
      <c r="B337" s="74"/>
      <c r="C337" s="74"/>
      <c r="D337" s="80"/>
      <c r="E337" s="63"/>
      <c r="F337" s="74"/>
      <c r="G337" s="22">
        <f>G334*0.4</f>
        <v>178083.2</v>
      </c>
      <c r="H337" s="22">
        <f>H334*0.4</f>
        <v>239040</v>
      </c>
      <c r="I337" s="69"/>
      <c r="J337" s="26" t="s">
        <v>22</v>
      </c>
      <c r="K337" s="24">
        <v>4000000</v>
      </c>
      <c r="L337" s="25">
        <f>4000000+651276.8</f>
        <v>4651276.8</v>
      </c>
      <c r="M337" s="25">
        <f>9500000*0.4+600000</f>
        <v>4400000</v>
      </c>
      <c r="N337" s="25"/>
      <c r="O337" s="25"/>
      <c r="P337" s="3"/>
    </row>
    <row r="338" spans="1:15" ht="22.5" customHeight="1">
      <c r="A338" s="75">
        <v>49</v>
      </c>
      <c r="B338" s="72">
        <v>926</v>
      </c>
      <c r="C338" s="72">
        <v>92695</v>
      </c>
      <c r="D338" s="81" t="s">
        <v>151</v>
      </c>
      <c r="E338" s="61" t="s">
        <v>17</v>
      </c>
      <c r="F338" s="72" t="s">
        <v>152</v>
      </c>
      <c r="G338" s="22">
        <v>3081</v>
      </c>
      <c r="H338" s="22">
        <v>836900</v>
      </c>
      <c r="I338" s="67">
        <f>SUM(K338:O338)+G338+H338</f>
        <v>1919981</v>
      </c>
      <c r="J338" s="23" t="s">
        <v>19</v>
      </c>
      <c r="K338" s="59">
        <f>SUM(K339:K341)</f>
        <v>1080000</v>
      </c>
      <c r="L338" s="25">
        <f>SUM(L339:L341)</f>
        <v>0</v>
      </c>
      <c r="M338" s="25">
        <f>SUM(M339:M341)</f>
        <v>0</v>
      </c>
      <c r="N338" s="25">
        <f>SUM(N339:N341)</f>
        <v>0</v>
      </c>
      <c r="O338" s="25">
        <f>SUM(O339:O341)</f>
        <v>0</v>
      </c>
    </row>
    <row r="339" spans="1:15" ht="12.75" customHeight="1">
      <c r="A339" s="76"/>
      <c r="B339" s="73"/>
      <c r="C339" s="73"/>
      <c r="D339" s="82"/>
      <c r="E339" s="62"/>
      <c r="F339" s="73"/>
      <c r="G339" s="22"/>
      <c r="H339" s="22"/>
      <c r="I339" s="68"/>
      <c r="J339" s="26" t="s">
        <v>20</v>
      </c>
      <c r="K339" s="59">
        <v>1080000</v>
      </c>
      <c r="L339" s="25"/>
      <c r="M339" s="25"/>
      <c r="N339" s="25"/>
      <c r="O339" s="25"/>
    </row>
    <row r="340" spans="1:15" ht="36" customHeight="1">
      <c r="A340" s="76"/>
      <c r="B340" s="73"/>
      <c r="C340" s="73"/>
      <c r="D340" s="82"/>
      <c r="E340" s="62"/>
      <c r="F340" s="73"/>
      <c r="G340" s="22"/>
      <c r="H340" s="22"/>
      <c r="I340" s="68"/>
      <c r="J340" s="27" t="s">
        <v>21</v>
      </c>
      <c r="K340" s="59"/>
      <c r="L340" s="25"/>
      <c r="M340" s="25"/>
      <c r="N340" s="25"/>
      <c r="O340" s="25"/>
    </row>
    <row r="341" spans="1:15" ht="12.75" customHeight="1">
      <c r="A341" s="77"/>
      <c r="B341" s="74"/>
      <c r="C341" s="74"/>
      <c r="D341" s="83"/>
      <c r="E341" s="63"/>
      <c r="F341" s="74"/>
      <c r="G341" s="22"/>
      <c r="H341" s="22"/>
      <c r="I341" s="69"/>
      <c r="J341" s="26" t="s">
        <v>22</v>
      </c>
      <c r="K341" s="59"/>
      <c r="L341" s="25"/>
      <c r="M341" s="25"/>
      <c r="N341" s="25"/>
      <c r="O341" s="25"/>
    </row>
    <row r="342" spans="1:15" ht="12.75" customHeight="1">
      <c r="A342" s="75">
        <v>50</v>
      </c>
      <c r="B342" s="72">
        <v>926</v>
      </c>
      <c r="C342" s="72">
        <v>92695</v>
      </c>
      <c r="D342" s="78" t="s">
        <v>153</v>
      </c>
      <c r="E342" s="61" t="s">
        <v>17</v>
      </c>
      <c r="F342" s="64" t="s">
        <v>107</v>
      </c>
      <c r="G342" s="28">
        <v>61</v>
      </c>
      <c r="H342" s="28">
        <v>5000</v>
      </c>
      <c r="I342" s="67">
        <f>SUM(K342:O342)+G342+H342</f>
        <v>1505061</v>
      </c>
      <c r="J342" s="23" t="s">
        <v>19</v>
      </c>
      <c r="K342" s="24">
        <f>SUM(K343:K345)</f>
        <v>170000</v>
      </c>
      <c r="L342" s="25">
        <f>SUM(L343:L345)</f>
        <v>500000</v>
      </c>
      <c r="M342" s="25">
        <f>SUM(M343:M345)</f>
        <v>830000</v>
      </c>
      <c r="N342" s="25">
        <f>SUM(N343:N345)</f>
        <v>0</v>
      </c>
      <c r="O342" s="25">
        <f>SUM(O343:O345)</f>
        <v>0</v>
      </c>
    </row>
    <row r="343" spans="1:15" ht="12.75" customHeight="1">
      <c r="A343" s="76"/>
      <c r="B343" s="73"/>
      <c r="C343" s="73"/>
      <c r="D343" s="79"/>
      <c r="E343" s="62"/>
      <c r="F343" s="70"/>
      <c r="G343" s="28"/>
      <c r="H343" s="28"/>
      <c r="I343" s="68"/>
      <c r="J343" s="26" t="s">
        <v>20</v>
      </c>
      <c r="K343" s="24">
        <v>85000</v>
      </c>
      <c r="L343" s="25">
        <v>250000</v>
      </c>
      <c r="M343" s="25">
        <f>500000-85000</f>
        <v>415000</v>
      </c>
      <c r="N343" s="25"/>
      <c r="O343" s="25"/>
    </row>
    <row r="344" spans="1:15" ht="36" customHeight="1">
      <c r="A344" s="76"/>
      <c r="B344" s="73"/>
      <c r="C344" s="73"/>
      <c r="D344" s="79"/>
      <c r="E344" s="62"/>
      <c r="F344" s="70"/>
      <c r="G344" s="28"/>
      <c r="H344" s="28"/>
      <c r="I344" s="68"/>
      <c r="J344" s="27" t="s">
        <v>21</v>
      </c>
      <c r="K344" s="24"/>
      <c r="L344" s="25"/>
      <c r="M344" s="25"/>
      <c r="N344" s="25"/>
      <c r="O344" s="25"/>
    </row>
    <row r="345" spans="1:15" ht="12.75" customHeight="1">
      <c r="A345" s="77"/>
      <c r="B345" s="74"/>
      <c r="C345" s="74"/>
      <c r="D345" s="80"/>
      <c r="E345" s="63"/>
      <c r="F345" s="71"/>
      <c r="G345" s="28"/>
      <c r="H345" s="28"/>
      <c r="I345" s="69"/>
      <c r="J345" s="26" t="s">
        <v>22</v>
      </c>
      <c r="K345" s="24">
        <v>85000</v>
      </c>
      <c r="L345" s="25">
        <v>250000</v>
      </c>
      <c r="M345" s="25">
        <f>500000-85000</f>
        <v>415000</v>
      </c>
      <c r="N345" s="25"/>
      <c r="O345" s="25"/>
    </row>
    <row r="346" spans="1:15" ht="12.75">
      <c r="A346" s="29"/>
      <c r="B346" s="30"/>
      <c r="C346" s="30"/>
      <c r="D346" s="30"/>
      <c r="E346" s="31"/>
      <c r="F346" s="32"/>
      <c r="G346" s="33">
        <f>SUM(G18:G344)</f>
        <v>10273844.809999999</v>
      </c>
      <c r="H346" s="33"/>
      <c r="I346" s="32"/>
      <c r="J346" s="23" t="s">
        <v>19</v>
      </c>
      <c r="K346" s="34">
        <f aca="true" t="shared" si="7" ref="K346:O349">K342+K338+K334+K330+K326+K322+K318+K314+K310+K306+K302+K298+K294+K290+K282+K278+K274+K270+K258+K254+K250+K234+K230+K226+K222+K218+K214+K206+K202+K198+K194+K190+K170+K130+K106+K98+K94+K86+K82+K78+K74+K70+K58+K22+K210+K286+K266+K186+K90+K262</f>
        <v>72182353</v>
      </c>
      <c r="L346" s="34">
        <f t="shared" si="7"/>
        <v>129343991</v>
      </c>
      <c r="M346" s="34">
        <f t="shared" si="7"/>
        <v>105862252.19999999</v>
      </c>
      <c r="N346" s="34">
        <f t="shared" si="7"/>
        <v>45859297.6</v>
      </c>
      <c r="O346" s="34">
        <f t="shared" si="7"/>
        <v>9585000</v>
      </c>
    </row>
    <row r="347" spans="1:15" ht="12.75">
      <c r="A347" s="35"/>
      <c r="B347" s="36"/>
      <c r="C347" s="37"/>
      <c r="D347" s="37"/>
      <c r="E347" s="38"/>
      <c r="F347" s="39"/>
      <c r="G347" s="39"/>
      <c r="H347" s="39"/>
      <c r="I347" s="40" t="s">
        <v>154</v>
      </c>
      <c r="J347" s="26" t="s">
        <v>20</v>
      </c>
      <c r="K347" s="34">
        <f t="shared" si="7"/>
        <v>39317731.2587</v>
      </c>
      <c r="L347" s="34">
        <f t="shared" si="7"/>
        <v>64088983.606000006</v>
      </c>
      <c r="M347" s="34">
        <f t="shared" si="7"/>
        <v>48648304.38804</v>
      </c>
      <c r="N347" s="34">
        <f t="shared" si="7"/>
        <v>20369952.740000002</v>
      </c>
      <c r="O347" s="34">
        <f t="shared" si="7"/>
        <v>8435000</v>
      </c>
    </row>
    <row r="348" spans="1:15" ht="25.5" customHeight="1">
      <c r="A348" s="35"/>
      <c r="B348" s="41"/>
      <c r="C348" s="37"/>
      <c r="D348" s="37" t="s">
        <v>155</v>
      </c>
      <c r="E348" s="38"/>
      <c r="F348" s="39"/>
      <c r="G348" s="39"/>
      <c r="H348" s="39"/>
      <c r="I348" s="39"/>
      <c r="J348" s="27" t="s">
        <v>21</v>
      </c>
      <c r="K348" s="34">
        <f t="shared" si="7"/>
        <v>0</v>
      </c>
      <c r="L348" s="34">
        <f t="shared" si="7"/>
        <v>0</v>
      </c>
      <c r="M348" s="34">
        <f t="shared" si="7"/>
        <v>0</v>
      </c>
      <c r="N348" s="34">
        <f t="shared" si="7"/>
        <v>0</v>
      </c>
      <c r="O348" s="34">
        <f t="shared" si="7"/>
        <v>0</v>
      </c>
    </row>
    <row r="349" spans="1:15" ht="12.75">
      <c r="A349" s="35"/>
      <c r="B349" s="60"/>
      <c r="C349" s="37"/>
      <c r="D349" s="37" t="s">
        <v>165</v>
      </c>
      <c r="E349" s="38"/>
      <c r="F349" s="39"/>
      <c r="G349" s="39"/>
      <c r="H349" s="39"/>
      <c r="I349" s="39"/>
      <c r="J349" s="26" t="s">
        <v>22</v>
      </c>
      <c r="K349" s="34">
        <f t="shared" si="7"/>
        <v>32864621.741299998</v>
      </c>
      <c r="L349" s="34">
        <f t="shared" si="7"/>
        <v>65255007.393999994</v>
      </c>
      <c r="M349" s="34">
        <f t="shared" si="7"/>
        <v>57213947.811960004</v>
      </c>
      <c r="N349" s="34">
        <f t="shared" si="7"/>
        <v>25489344.86</v>
      </c>
      <c r="O349" s="34">
        <f t="shared" si="7"/>
        <v>1150000</v>
      </c>
    </row>
    <row r="350" spans="1:15" ht="12.75">
      <c r="A350" s="42"/>
      <c r="B350" s="43"/>
      <c r="C350" s="44"/>
      <c r="D350" s="44"/>
      <c r="E350" s="45"/>
      <c r="F350" s="44"/>
      <c r="G350" s="44"/>
      <c r="H350" s="44"/>
      <c r="I350" s="44"/>
      <c r="J350" s="46"/>
      <c r="K350" s="44"/>
      <c r="L350" s="44"/>
      <c r="M350" s="44"/>
      <c r="N350" s="44"/>
      <c r="O350" s="47"/>
    </row>
    <row r="351" spans="1:15" ht="12.75">
      <c r="A351" s="48"/>
      <c r="B351" s="48"/>
      <c r="C351" s="37"/>
      <c r="D351" s="37"/>
      <c r="E351" s="38"/>
      <c r="F351" s="37"/>
      <c r="G351" s="37"/>
      <c r="H351" s="37"/>
      <c r="I351" s="37"/>
      <c r="J351" s="37"/>
      <c r="K351" s="37"/>
      <c r="L351" s="37"/>
      <c r="M351" s="37"/>
      <c r="N351" s="37"/>
      <c r="O351" s="37"/>
    </row>
    <row r="352" spans="1:15" ht="12.75">
      <c r="A352" s="39"/>
      <c r="B352" s="37"/>
      <c r="C352" s="37"/>
      <c r="D352" s="37"/>
      <c r="E352" s="38"/>
      <c r="F352" s="37"/>
      <c r="G352" s="37"/>
      <c r="H352" s="37"/>
      <c r="I352" s="37"/>
      <c r="J352" s="37"/>
      <c r="K352" s="37"/>
      <c r="L352" s="37"/>
      <c r="M352" s="37"/>
      <c r="N352" s="37"/>
      <c r="O352" s="37"/>
    </row>
    <row r="353" spans="1:15" ht="12.75">
      <c r="A353" s="39"/>
      <c r="B353" s="48"/>
      <c r="C353" s="48"/>
      <c r="D353" s="48"/>
      <c r="E353" s="48"/>
      <c r="F353" s="37"/>
      <c r="G353" s="37"/>
      <c r="H353" s="37"/>
      <c r="I353" s="37"/>
      <c r="J353" s="37"/>
      <c r="K353" s="37"/>
      <c r="L353" s="37"/>
      <c r="M353" s="37"/>
      <c r="N353" s="37"/>
      <c r="O353" s="37"/>
    </row>
    <row r="354" spans="1:15" ht="12.75">
      <c r="A354" s="39"/>
      <c r="B354" s="48"/>
      <c r="C354" s="48"/>
      <c r="D354" s="48"/>
      <c r="E354" s="48"/>
      <c r="F354" s="37"/>
      <c r="G354" s="37"/>
      <c r="H354" s="37"/>
      <c r="I354" s="37"/>
      <c r="J354" s="37"/>
      <c r="K354" s="37"/>
      <c r="L354" s="37"/>
      <c r="M354" s="37"/>
      <c r="N354" s="37"/>
      <c r="O354" s="37"/>
    </row>
    <row r="355" spans="1:15" ht="12.75">
      <c r="A355" s="39"/>
      <c r="B355" s="48"/>
      <c r="C355" s="48"/>
      <c r="D355" s="48"/>
      <c r="E355" s="48"/>
      <c r="F355" s="37"/>
      <c r="G355" s="37"/>
      <c r="H355" s="37"/>
      <c r="I355" s="37"/>
      <c r="J355" s="37"/>
      <c r="K355" s="37"/>
      <c r="L355" s="37"/>
      <c r="M355" s="37"/>
      <c r="N355" s="37"/>
      <c r="O355" s="37"/>
    </row>
    <row r="356" spans="1:15" ht="12.75">
      <c r="A356" s="49"/>
      <c r="B356" s="50"/>
      <c r="C356" s="50"/>
      <c r="D356" s="50"/>
      <c r="E356" s="51"/>
      <c r="F356" s="50"/>
      <c r="G356" s="50"/>
      <c r="H356" s="50"/>
      <c r="I356" s="50"/>
      <c r="J356" s="50"/>
      <c r="K356" s="50"/>
      <c r="L356" s="50"/>
      <c r="M356" s="50"/>
      <c r="N356" s="50"/>
      <c r="O356" s="50"/>
    </row>
    <row r="357" spans="1:15" ht="12.75">
      <c r="A357" s="49"/>
      <c r="B357" s="50"/>
      <c r="C357" s="50"/>
      <c r="D357" s="50"/>
      <c r="E357" s="51"/>
      <c r="F357" s="50"/>
      <c r="G357" s="50"/>
      <c r="H357" s="50"/>
      <c r="I357" s="50"/>
      <c r="J357" s="50"/>
      <c r="K357" s="50"/>
      <c r="L357" s="50"/>
      <c r="M357" s="50"/>
      <c r="N357" s="50"/>
      <c r="O357" s="50"/>
    </row>
    <row r="358" spans="1:15" ht="12.75">
      <c r="A358" s="49"/>
      <c r="B358" s="50"/>
      <c r="C358" s="50"/>
      <c r="D358" s="50"/>
      <c r="E358" s="51"/>
      <c r="F358" s="50"/>
      <c r="G358" s="50"/>
      <c r="H358" s="50"/>
      <c r="I358" s="50"/>
      <c r="J358" s="50"/>
      <c r="K358" s="50"/>
      <c r="L358" s="50"/>
      <c r="M358" s="50"/>
      <c r="N358" s="50"/>
      <c r="O358" s="50"/>
    </row>
    <row r="359" spans="1:15" ht="12.75">
      <c r="A359" s="49"/>
      <c r="B359" s="50"/>
      <c r="C359" s="50"/>
      <c r="D359" s="50"/>
      <c r="E359" s="51"/>
      <c r="F359" s="50"/>
      <c r="G359" s="50"/>
      <c r="H359" s="50"/>
      <c r="I359" s="50"/>
      <c r="J359" s="50"/>
      <c r="K359" s="50"/>
      <c r="L359" s="50"/>
      <c r="M359" s="50"/>
      <c r="N359" s="50"/>
      <c r="O359" s="50"/>
    </row>
    <row r="360" spans="1:15" ht="12.75">
      <c r="A360" s="49"/>
      <c r="B360" s="50"/>
      <c r="C360" s="50"/>
      <c r="D360" s="50"/>
      <c r="E360" s="51"/>
      <c r="F360" s="50"/>
      <c r="G360" s="50"/>
      <c r="H360" s="50"/>
      <c r="I360" s="50"/>
      <c r="J360" s="50"/>
      <c r="K360" s="50"/>
      <c r="L360" s="50"/>
      <c r="M360" s="50"/>
      <c r="N360" s="50"/>
      <c r="O360" s="50"/>
    </row>
    <row r="361" spans="1:15" ht="12.75">
      <c r="A361" s="49"/>
      <c r="B361" s="50"/>
      <c r="C361" s="50"/>
      <c r="D361" s="50"/>
      <c r="E361" s="51"/>
      <c r="F361" s="50"/>
      <c r="G361" s="50"/>
      <c r="H361" s="50"/>
      <c r="I361" s="50"/>
      <c r="J361" s="50"/>
      <c r="K361" s="50"/>
      <c r="L361" s="50"/>
      <c r="M361" s="50"/>
      <c r="N361" s="50"/>
      <c r="O361" s="50"/>
    </row>
    <row r="362" spans="1:15" ht="12.75">
      <c r="A362" s="49"/>
      <c r="B362" s="50"/>
      <c r="C362" s="50"/>
      <c r="D362" s="50"/>
      <c r="E362" s="51"/>
      <c r="F362" s="50"/>
      <c r="G362" s="50"/>
      <c r="H362" s="50"/>
      <c r="I362" s="50"/>
      <c r="J362" s="50"/>
      <c r="K362" s="50"/>
      <c r="L362" s="50"/>
      <c r="M362" s="50"/>
      <c r="N362" s="50"/>
      <c r="O362" s="50"/>
    </row>
    <row r="363" spans="1:15" ht="12.75">
      <c r="A363" s="49"/>
      <c r="B363" s="50"/>
      <c r="C363" s="50"/>
      <c r="D363" s="50"/>
      <c r="E363" s="51"/>
      <c r="F363" s="50"/>
      <c r="G363" s="50"/>
      <c r="H363" s="50"/>
      <c r="I363" s="50"/>
      <c r="J363" s="50"/>
      <c r="K363" s="50"/>
      <c r="L363" s="50"/>
      <c r="M363" s="50"/>
      <c r="N363" s="50"/>
      <c r="O363" s="50"/>
    </row>
    <row r="364" spans="1:15" ht="12.75">
      <c r="A364" s="49"/>
      <c r="B364" s="50"/>
      <c r="C364" s="50"/>
      <c r="D364" s="50"/>
      <c r="E364" s="51"/>
      <c r="F364" s="50"/>
      <c r="G364" s="50"/>
      <c r="H364" s="50"/>
      <c r="I364" s="50"/>
      <c r="J364" s="50"/>
      <c r="K364" s="50"/>
      <c r="L364" s="50"/>
      <c r="M364" s="50"/>
      <c r="N364" s="50"/>
      <c r="O364" s="50"/>
    </row>
    <row r="365" spans="1:15" ht="12.75">
      <c r="A365" s="49"/>
      <c r="B365" s="50"/>
      <c r="C365" s="50"/>
      <c r="D365" s="50"/>
      <c r="E365" s="51"/>
      <c r="F365" s="50"/>
      <c r="G365" s="50"/>
      <c r="H365" s="50"/>
      <c r="I365" s="50"/>
      <c r="J365" s="50"/>
      <c r="K365" s="50"/>
      <c r="L365" s="50"/>
      <c r="M365" s="50"/>
      <c r="N365" s="50"/>
      <c r="O365" s="50"/>
    </row>
    <row r="366" spans="1:15" ht="12.75">
      <c r="A366" s="49"/>
      <c r="B366" s="50"/>
      <c r="C366" s="50"/>
      <c r="D366" s="50"/>
      <c r="E366" s="51"/>
      <c r="F366" s="50"/>
      <c r="G366" s="50"/>
      <c r="H366" s="50"/>
      <c r="I366" s="50"/>
      <c r="J366" s="50"/>
      <c r="K366" s="50"/>
      <c r="L366" s="50"/>
      <c r="M366" s="50"/>
      <c r="N366" s="50"/>
      <c r="O366" s="50"/>
    </row>
    <row r="367" spans="1:5" ht="12.75">
      <c r="A367" s="49"/>
      <c r="E367" s="51"/>
    </row>
    <row r="368" spans="1:5" ht="12.75">
      <c r="A368" s="49"/>
      <c r="E368" s="51"/>
    </row>
    <row r="369" spans="1:5" ht="12.75">
      <c r="A369" s="49"/>
      <c r="E369" s="51"/>
    </row>
    <row r="370" spans="1:5" ht="12.75">
      <c r="A370" s="49"/>
      <c r="E370" s="51"/>
    </row>
    <row r="371" spans="1:5" ht="12.75">
      <c r="A371" s="49"/>
      <c r="E371" s="51"/>
    </row>
    <row r="372" spans="1:5" ht="12.75">
      <c r="A372" s="49"/>
      <c r="E372" s="51"/>
    </row>
    <row r="373" spans="1:5" ht="12.75">
      <c r="A373" s="49"/>
      <c r="E373" s="51"/>
    </row>
    <row r="374" spans="1:5" ht="12.75">
      <c r="A374" s="49"/>
      <c r="E374" s="51"/>
    </row>
    <row r="375" spans="1:5" ht="12.75">
      <c r="A375" s="49"/>
      <c r="E375" s="51"/>
    </row>
    <row r="376" spans="1:5" ht="12.75">
      <c r="A376" s="49"/>
      <c r="E376" s="51"/>
    </row>
    <row r="377" spans="1:5" ht="12.75">
      <c r="A377" s="49"/>
      <c r="E377" s="51"/>
    </row>
    <row r="378" spans="1:5" ht="12.75">
      <c r="A378" s="49"/>
      <c r="E378" s="51"/>
    </row>
    <row r="379" spans="1:5" ht="12.75">
      <c r="A379" s="49"/>
      <c r="E379" s="51"/>
    </row>
    <row r="380" spans="1:5" ht="12.75">
      <c r="A380" s="49"/>
      <c r="E380" s="51"/>
    </row>
    <row r="381" spans="1:5" ht="12.75">
      <c r="A381" s="49"/>
      <c r="E381" s="51"/>
    </row>
    <row r="382" spans="1:5" ht="12.75">
      <c r="A382" s="49"/>
      <c r="E382" s="51"/>
    </row>
    <row r="383" spans="1:5" ht="12.75">
      <c r="A383" s="49"/>
      <c r="E383" s="51"/>
    </row>
    <row r="384" spans="1:5" ht="12.75">
      <c r="A384" s="49"/>
      <c r="E384" s="51"/>
    </row>
    <row r="385" spans="1:5" ht="12.75">
      <c r="A385" s="49"/>
      <c r="E385" s="51"/>
    </row>
    <row r="386" spans="1:5" ht="12.75">
      <c r="A386" s="49"/>
      <c r="E386" s="51"/>
    </row>
    <row r="387" spans="1:5" ht="12.75">
      <c r="A387" s="49"/>
      <c r="E387" s="51"/>
    </row>
    <row r="388" spans="1:5" ht="12.75">
      <c r="A388" s="49"/>
      <c r="E388" s="51"/>
    </row>
    <row r="389" spans="1:5" ht="12.75">
      <c r="A389" s="49"/>
      <c r="E389" s="51"/>
    </row>
    <row r="390" spans="1:5" ht="12.75">
      <c r="A390" s="49"/>
      <c r="E390" s="51"/>
    </row>
    <row r="391" spans="1:5" ht="12.75">
      <c r="A391" s="49"/>
      <c r="E391" s="51"/>
    </row>
    <row r="392" spans="1:5" ht="12.75">
      <c r="A392" s="49"/>
      <c r="E392" s="51"/>
    </row>
    <row r="393" spans="1:5" ht="12.75">
      <c r="A393" s="49"/>
      <c r="E393" s="51"/>
    </row>
    <row r="394" spans="1:5" ht="12.75">
      <c r="A394" s="49"/>
      <c r="E394" s="51"/>
    </row>
    <row r="395" spans="1:5" ht="12.75">
      <c r="A395" s="49"/>
      <c r="E395" s="51"/>
    </row>
    <row r="396" spans="1:5" ht="12.75">
      <c r="A396" s="49"/>
      <c r="E396" s="51"/>
    </row>
    <row r="397" spans="1:5" ht="12.75">
      <c r="A397" s="49"/>
      <c r="E397" s="51"/>
    </row>
    <row r="398" spans="1:5" ht="12.75">
      <c r="A398" s="49"/>
      <c r="E398" s="51"/>
    </row>
    <row r="399" spans="1:5" ht="12.75">
      <c r="A399" s="49"/>
      <c r="E399" s="51"/>
    </row>
    <row r="400" spans="1:5" ht="12.75">
      <c r="A400" s="49"/>
      <c r="E400" s="51"/>
    </row>
    <row r="401" spans="1:5" ht="12.75">
      <c r="A401" s="49"/>
      <c r="E401" s="51"/>
    </row>
    <row r="402" spans="1:5" ht="12.75">
      <c r="A402" s="49"/>
      <c r="E402" s="51"/>
    </row>
    <row r="403" spans="1:5" ht="12.75">
      <c r="A403" s="49"/>
      <c r="E403" s="51"/>
    </row>
    <row r="404" spans="1:5" ht="12.75">
      <c r="A404" s="49"/>
      <c r="E404" s="51"/>
    </row>
    <row r="405" spans="1:5" ht="12.75">
      <c r="A405" s="49"/>
      <c r="E405" s="51"/>
    </row>
    <row r="406" spans="1:5" ht="12.75">
      <c r="A406" s="49"/>
      <c r="E406" s="51"/>
    </row>
    <row r="407" spans="1:5" ht="12.75">
      <c r="A407" s="49"/>
      <c r="E407" s="51"/>
    </row>
    <row r="408" spans="1:5" ht="12.75">
      <c r="A408" s="49"/>
      <c r="E408" s="51"/>
    </row>
    <row r="409" ht="12.75">
      <c r="E409" s="51"/>
    </row>
    <row r="410" ht="12.75">
      <c r="E410" s="51"/>
    </row>
    <row r="411" ht="12.75">
      <c r="E411" s="51"/>
    </row>
    <row r="412" ht="12.75">
      <c r="E412" s="51"/>
    </row>
    <row r="413" ht="12.75">
      <c r="E413" s="51"/>
    </row>
    <row r="414" ht="12.75">
      <c r="E414" s="51"/>
    </row>
    <row r="415" ht="12.75">
      <c r="E415" s="51"/>
    </row>
    <row r="416" ht="12.75">
      <c r="E416" s="51"/>
    </row>
    <row r="417" ht="12.75">
      <c r="E417" s="51"/>
    </row>
    <row r="418" ht="12.75">
      <c r="E418" s="51"/>
    </row>
    <row r="419" ht="12.75">
      <c r="E419" s="51"/>
    </row>
    <row r="420" ht="12.75">
      <c r="E420" s="51"/>
    </row>
    <row r="421" ht="12.75">
      <c r="E421" s="51"/>
    </row>
    <row r="422" ht="12.75">
      <c r="E422" s="51"/>
    </row>
    <row r="423" ht="12.75">
      <c r="E423" s="51"/>
    </row>
    <row r="424" ht="12.75">
      <c r="E424" s="51"/>
    </row>
    <row r="425" ht="12.75">
      <c r="E425" s="51"/>
    </row>
    <row r="426" ht="12.75">
      <c r="E426" s="51"/>
    </row>
    <row r="427" ht="12.75">
      <c r="E427" s="51"/>
    </row>
    <row r="428" ht="12.75">
      <c r="E428" s="51"/>
    </row>
    <row r="429" ht="12.75">
      <c r="E429" s="51"/>
    </row>
    <row r="430" ht="12.75">
      <c r="E430" s="51"/>
    </row>
    <row r="431" ht="12.75">
      <c r="E431" s="51"/>
    </row>
    <row r="432" ht="12.75">
      <c r="E432" s="51"/>
    </row>
    <row r="433" ht="12.75">
      <c r="E433" s="51"/>
    </row>
    <row r="434" ht="12.75">
      <c r="E434" s="51"/>
    </row>
    <row r="435" ht="12.75">
      <c r="E435" s="51"/>
    </row>
    <row r="436" ht="12.75">
      <c r="E436" s="51"/>
    </row>
    <row r="437" ht="12.75">
      <c r="E437" s="51"/>
    </row>
    <row r="438" ht="12.75">
      <c r="E438" s="51"/>
    </row>
    <row r="439" ht="12.75">
      <c r="E439" s="51"/>
    </row>
    <row r="440" ht="12.75">
      <c r="E440" s="51"/>
    </row>
    <row r="441" ht="12.75">
      <c r="E441" s="51"/>
    </row>
    <row r="442" ht="12.75">
      <c r="E442" s="51"/>
    </row>
    <row r="443" ht="12.75">
      <c r="E443" s="51"/>
    </row>
    <row r="444" ht="12.75">
      <c r="E444" s="51"/>
    </row>
    <row r="445" ht="12.75">
      <c r="E445" s="51"/>
    </row>
    <row r="446" ht="12.75">
      <c r="E446" s="51"/>
    </row>
    <row r="447" ht="12.75">
      <c r="E447" s="51"/>
    </row>
    <row r="448" ht="12.75">
      <c r="E448" s="51"/>
    </row>
    <row r="449" ht="12.75">
      <c r="E449" s="51"/>
    </row>
    <row r="450" ht="12.75">
      <c r="E450" s="51"/>
    </row>
    <row r="451" ht="12.75">
      <c r="E451" s="51"/>
    </row>
    <row r="452" ht="12.75">
      <c r="E452" s="51"/>
    </row>
    <row r="453" ht="12.75">
      <c r="E453" s="51"/>
    </row>
    <row r="454" ht="12.75">
      <c r="E454" s="51"/>
    </row>
  </sheetData>
  <sheetProtection/>
  <mergeCells count="587">
    <mergeCell ref="E90:E93"/>
    <mergeCell ref="F90:F93"/>
    <mergeCell ref="A8:O8"/>
    <mergeCell ref="A12:A16"/>
    <mergeCell ref="B12:B16"/>
    <mergeCell ref="C12:C16"/>
    <mergeCell ref="D12:D16"/>
    <mergeCell ref="E12:E16"/>
    <mergeCell ref="B90:B93"/>
    <mergeCell ref="C90:C93"/>
    <mergeCell ref="D90:D93"/>
    <mergeCell ref="I12:I16"/>
    <mergeCell ref="J12:J16"/>
    <mergeCell ref="K12:O14"/>
    <mergeCell ref="F12:F16"/>
    <mergeCell ref="G12:G16"/>
    <mergeCell ref="H12:H16"/>
    <mergeCell ref="I26:I29"/>
    <mergeCell ref="I22:I25"/>
    <mergeCell ref="I18:I21"/>
    <mergeCell ref="A22:A25"/>
    <mergeCell ref="B22:B25"/>
    <mergeCell ref="E18:E21"/>
    <mergeCell ref="F18:F21"/>
    <mergeCell ref="A18:A21"/>
    <mergeCell ref="B18:B21"/>
    <mergeCell ref="C18:C21"/>
    <mergeCell ref="D18:D21"/>
    <mergeCell ref="C22:C25"/>
    <mergeCell ref="D22:D25"/>
    <mergeCell ref="A26:A29"/>
    <mergeCell ref="B26:B29"/>
    <mergeCell ref="C26:C29"/>
    <mergeCell ref="D26:D29"/>
    <mergeCell ref="C30:C33"/>
    <mergeCell ref="D30:D33"/>
    <mergeCell ref="E30:E33"/>
    <mergeCell ref="F30:F33"/>
    <mergeCell ref="E22:E25"/>
    <mergeCell ref="F22:F25"/>
    <mergeCell ref="E26:E29"/>
    <mergeCell ref="F26:F29"/>
    <mergeCell ref="I30:I33"/>
    <mergeCell ref="A34:A37"/>
    <mergeCell ref="B34:B37"/>
    <mergeCell ref="C34:C37"/>
    <mergeCell ref="D34:D37"/>
    <mergeCell ref="E34:E37"/>
    <mergeCell ref="F34:F37"/>
    <mergeCell ref="I34:I37"/>
    <mergeCell ref="A30:A33"/>
    <mergeCell ref="B30:B33"/>
    <mergeCell ref="F42:F45"/>
    <mergeCell ref="I42:I45"/>
    <mergeCell ref="A38:A41"/>
    <mergeCell ref="B38:B41"/>
    <mergeCell ref="C38:C41"/>
    <mergeCell ref="D38:D41"/>
    <mergeCell ref="E38:E41"/>
    <mergeCell ref="F38:F41"/>
    <mergeCell ref="I38:I41"/>
    <mergeCell ref="A42:A45"/>
    <mergeCell ref="C46:C49"/>
    <mergeCell ref="D46:D49"/>
    <mergeCell ref="E46:E49"/>
    <mergeCell ref="F46:F49"/>
    <mergeCell ref="B42:B45"/>
    <mergeCell ref="C42:C45"/>
    <mergeCell ref="D42:D45"/>
    <mergeCell ref="E42:E45"/>
    <mergeCell ref="I46:I49"/>
    <mergeCell ref="A50:A53"/>
    <mergeCell ref="B50:B53"/>
    <mergeCell ref="C50:C53"/>
    <mergeCell ref="D50:D53"/>
    <mergeCell ref="E50:E53"/>
    <mergeCell ref="F50:F53"/>
    <mergeCell ref="I50:I53"/>
    <mergeCell ref="A46:A49"/>
    <mergeCell ref="B46:B49"/>
    <mergeCell ref="F58:F61"/>
    <mergeCell ref="I58:I61"/>
    <mergeCell ref="A54:A57"/>
    <mergeCell ref="B54:B57"/>
    <mergeCell ref="C54:C57"/>
    <mergeCell ref="D54:D57"/>
    <mergeCell ref="E54:E57"/>
    <mergeCell ref="F54:F57"/>
    <mergeCell ref="I54:I57"/>
    <mergeCell ref="A58:A61"/>
    <mergeCell ref="C62:C65"/>
    <mergeCell ref="D62:D65"/>
    <mergeCell ref="E62:E65"/>
    <mergeCell ref="F62:F65"/>
    <mergeCell ref="B58:B61"/>
    <mergeCell ref="C58:C61"/>
    <mergeCell ref="D58:D61"/>
    <mergeCell ref="E58:E61"/>
    <mergeCell ref="I62:I65"/>
    <mergeCell ref="A66:A69"/>
    <mergeCell ref="B66:B69"/>
    <mergeCell ref="C66:C69"/>
    <mergeCell ref="D66:D69"/>
    <mergeCell ref="E66:E69"/>
    <mergeCell ref="F66:F69"/>
    <mergeCell ref="I66:I69"/>
    <mergeCell ref="A62:A65"/>
    <mergeCell ref="B62:B65"/>
    <mergeCell ref="F78:F81"/>
    <mergeCell ref="F74:F77"/>
    <mergeCell ref="I74:I77"/>
    <mergeCell ref="A70:A73"/>
    <mergeCell ref="B70:B73"/>
    <mergeCell ref="C70:C73"/>
    <mergeCell ref="D70:D73"/>
    <mergeCell ref="E70:E73"/>
    <mergeCell ref="F70:F73"/>
    <mergeCell ref="I70:I73"/>
    <mergeCell ref="D74:D77"/>
    <mergeCell ref="E74:E77"/>
    <mergeCell ref="C78:C81"/>
    <mergeCell ref="D78:D81"/>
    <mergeCell ref="E78:E81"/>
    <mergeCell ref="A78:A81"/>
    <mergeCell ref="B78:B81"/>
    <mergeCell ref="B74:B77"/>
    <mergeCell ref="C74:C77"/>
    <mergeCell ref="A74:A77"/>
    <mergeCell ref="I90:I93"/>
    <mergeCell ref="A90:A93"/>
    <mergeCell ref="I78:I81"/>
    <mergeCell ref="A82:A85"/>
    <mergeCell ref="B82:B85"/>
    <mergeCell ref="C82:C85"/>
    <mergeCell ref="D82:D85"/>
    <mergeCell ref="E82:E85"/>
    <mergeCell ref="F82:F85"/>
    <mergeCell ref="I82:I85"/>
    <mergeCell ref="C86:C89"/>
    <mergeCell ref="D86:D89"/>
    <mergeCell ref="E86:E89"/>
    <mergeCell ref="F86:F89"/>
    <mergeCell ref="C98:C101"/>
    <mergeCell ref="D98:D101"/>
    <mergeCell ref="E98:E101"/>
    <mergeCell ref="F98:F101"/>
    <mergeCell ref="I86:I89"/>
    <mergeCell ref="A94:A97"/>
    <mergeCell ref="B94:B97"/>
    <mergeCell ref="C94:C97"/>
    <mergeCell ref="D94:D97"/>
    <mergeCell ref="E94:E97"/>
    <mergeCell ref="F94:F97"/>
    <mergeCell ref="I94:I97"/>
    <mergeCell ref="A86:A89"/>
    <mergeCell ref="B86:B89"/>
    <mergeCell ref="I98:I101"/>
    <mergeCell ref="A102:A105"/>
    <mergeCell ref="B102:B105"/>
    <mergeCell ref="C102:C105"/>
    <mergeCell ref="D102:D105"/>
    <mergeCell ref="E102:E105"/>
    <mergeCell ref="F102:F105"/>
    <mergeCell ref="I102:I105"/>
    <mergeCell ref="A98:A101"/>
    <mergeCell ref="B98:B101"/>
    <mergeCell ref="F110:F113"/>
    <mergeCell ref="I110:I113"/>
    <mergeCell ref="A106:A109"/>
    <mergeCell ref="B106:B109"/>
    <mergeCell ref="C106:C109"/>
    <mergeCell ref="D106:D109"/>
    <mergeCell ref="E106:E109"/>
    <mergeCell ref="F106:F109"/>
    <mergeCell ref="I106:I109"/>
    <mergeCell ref="A110:A113"/>
    <mergeCell ref="C114:C117"/>
    <mergeCell ref="D114:D117"/>
    <mergeCell ref="E114:E117"/>
    <mergeCell ref="F114:F117"/>
    <mergeCell ref="B110:B113"/>
    <mergeCell ref="C110:C113"/>
    <mergeCell ref="D110:D113"/>
    <mergeCell ref="E110:E113"/>
    <mergeCell ref="I114:I117"/>
    <mergeCell ref="A118:A121"/>
    <mergeCell ref="B118:B121"/>
    <mergeCell ref="C118:C121"/>
    <mergeCell ref="D118:D121"/>
    <mergeCell ref="E118:E121"/>
    <mergeCell ref="F118:F121"/>
    <mergeCell ref="I118:I121"/>
    <mergeCell ref="A114:A117"/>
    <mergeCell ref="B114:B117"/>
    <mergeCell ref="F126:F129"/>
    <mergeCell ref="I126:I129"/>
    <mergeCell ref="A122:A125"/>
    <mergeCell ref="B122:B125"/>
    <mergeCell ref="C122:C125"/>
    <mergeCell ref="D122:D125"/>
    <mergeCell ref="E122:E125"/>
    <mergeCell ref="F122:F125"/>
    <mergeCell ref="I122:I125"/>
    <mergeCell ref="A126:A129"/>
    <mergeCell ref="C130:C133"/>
    <mergeCell ref="D130:D133"/>
    <mergeCell ref="E130:E133"/>
    <mergeCell ref="F130:F133"/>
    <mergeCell ref="B126:B129"/>
    <mergeCell ref="C126:C129"/>
    <mergeCell ref="D126:D129"/>
    <mergeCell ref="E126:E129"/>
    <mergeCell ref="I130:I133"/>
    <mergeCell ref="A134:A137"/>
    <mergeCell ref="B134:B137"/>
    <mergeCell ref="C134:C137"/>
    <mergeCell ref="D134:D137"/>
    <mergeCell ref="E134:E137"/>
    <mergeCell ref="F134:F137"/>
    <mergeCell ref="I134:I137"/>
    <mergeCell ref="A130:A133"/>
    <mergeCell ref="B130:B133"/>
    <mergeCell ref="F142:F145"/>
    <mergeCell ref="I142:I145"/>
    <mergeCell ref="A138:A141"/>
    <mergeCell ref="B138:B141"/>
    <mergeCell ref="C138:C141"/>
    <mergeCell ref="D138:D141"/>
    <mergeCell ref="E138:E141"/>
    <mergeCell ref="F138:F141"/>
    <mergeCell ref="I138:I141"/>
    <mergeCell ref="A142:A145"/>
    <mergeCell ref="C146:C149"/>
    <mergeCell ref="D146:D149"/>
    <mergeCell ref="E146:E149"/>
    <mergeCell ref="F146:F149"/>
    <mergeCell ref="B142:B145"/>
    <mergeCell ref="C142:C145"/>
    <mergeCell ref="D142:D145"/>
    <mergeCell ref="E142:E145"/>
    <mergeCell ref="I146:I149"/>
    <mergeCell ref="A150:A153"/>
    <mergeCell ref="B150:B153"/>
    <mergeCell ref="C150:C153"/>
    <mergeCell ref="D150:D153"/>
    <mergeCell ref="E150:E153"/>
    <mergeCell ref="F150:F153"/>
    <mergeCell ref="I150:I153"/>
    <mergeCell ref="A146:A149"/>
    <mergeCell ref="B146:B149"/>
    <mergeCell ref="F158:F161"/>
    <mergeCell ref="I158:I161"/>
    <mergeCell ref="A154:A157"/>
    <mergeCell ref="B154:B157"/>
    <mergeCell ref="C154:C157"/>
    <mergeCell ref="D154:D157"/>
    <mergeCell ref="E154:E157"/>
    <mergeCell ref="F154:F157"/>
    <mergeCell ref="I154:I157"/>
    <mergeCell ref="A158:A161"/>
    <mergeCell ref="D158:D161"/>
    <mergeCell ref="E158:E161"/>
    <mergeCell ref="C162:C165"/>
    <mergeCell ref="D162:D165"/>
    <mergeCell ref="E162:E165"/>
    <mergeCell ref="A162:A165"/>
    <mergeCell ref="B162:B165"/>
    <mergeCell ref="B158:B161"/>
    <mergeCell ref="C158:C161"/>
    <mergeCell ref="A166:A169"/>
    <mergeCell ref="B166:B169"/>
    <mergeCell ref="C166:C169"/>
    <mergeCell ref="D166:D169"/>
    <mergeCell ref="E286:E289"/>
    <mergeCell ref="F286:F289"/>
    <mergeCell ref="I286:I289"/>
    <mergeCell ref="I162:I165"/>
    <mergeCell ref="E166:E169"/>
    <mergeCell ref="F166:F169"/>
    <mergeCell ref="I166:I169"/>
    <mergeCell ref="F162:F165"/>
    <mergeCell ref="I262:I265"/>
    <mergeCell ref="E170:E173"/>
    <mergeCell ref="B170:B173"/>
    <mergeCell ref="C170:C173"/>
    <mergeCell ref="D170:D173"/>
    <mergeCell ref="A286:A289"/>
    <mergeCell ref="B286:B289"/>
    <mergeCell ref="C286:C289"/>
    <mergeCell ref="D286:D289"/>
    <mergeCell ref="D258:D265"/>
    <mergeCell ref="A178:A181"/>
    <mergeCell ref="B178:B181"/>
    <mergeCell ref="F170:F173"/>
    <mergeCell ref="I170:I173"/>
    <mergeCell ref="A174:A177"/>
    <mergeCell ref="B174:B177"/>
    <mergeCell ref="C174:C177"/>
    <mergeCell ref="D174:D177"/>
    <mergeCell ref="E174:E177"/>
    <mergeCell ref="F174:F177"/>
    <mergeCell ref="I174:I177"/>
    <mergeCell ref="A170:A173"/>
    <mergeCell ref="C178:C181"/>
    <mergeCell ref="D178:D181"/>
    <mergeCell ref="E178:E181"/>
    <mergeCell ref="F178:F181"/>
    <mergeCell ref="I178:I181"/>
    <mergeCell ref="F190:F193"/>
    <mergeCell ref="I190:I193"/>
    <mergeCell ref="I182:I185"/>
    <mergeCell ref="E190:E193"/>
    <mergeCell ref="I186:I189"/>
    <mergeCell ref="A186:A189"/>
    <mergeCell ref="B186:B189"/>
    <mergeCell ref="A190:A193"/>
    <mergeCell ref="B190:B193"/>
    <mergeCell ref="E186:E189"/>
    <mergeCell ref="F186:F189"/>
    <mergeCell ref="A182:A185"/>
    <mergeCell ref="B182:B185"/>
    <mergeCell ref="C182:C185"/>
    <mergeCell ref="D182:D185"/>
    <mergeCell ref="E182:E185"/>
    <mergeCell ref="F182:F185"/>
    <mergeCell ref="C194:C197"/>
    <mergeCell ref="D194:D197"/>
    <mergeCell ref="E194:E197"/>
    <mergeCell ref="F194:F197"/>
    <mergeCell ref="C190:C193"/>
    <mergeCell ref="D190:D193"/>
    <mergeCell ref="C186:C189"/>
    <mergeCell ref="D186:D189"/>
    <mergeCell ref="I194:I197"/>
    <mergeCell ref="A198:A201"/>
    <mergeCell ref="B198:B201"/>
    <mergeCell ref="C198:C201"/>
    <mergeCell ref="D198:D201"/>
    <mergeCell ref="E198:E201"/>
    <mergeCell ref="F198:F201"/>
    <mergeCell ref="I198:I201"/>
    <mergeCell ref="A194:A197"/>
    <mergeCell ref="B194:B197"/>
    <mergeCell ref="A202:A205"/>
    <mergeCell ref="B202:B205"/>
    <mergeCell ref="C202:C205"/>
    <mergeCell ref="D202:D205"/>
    <mergeCell ref="E202:E205"/>
    <mergeCell ref="F202:F205"/>
    <mergeCell ref="I202:I205"/>
    <mergeCell ref="A206:A209"/>
    <mergeCell ref="B206:B209"/>
    <mergeCell ref="C206:C209"/>
    <mergeCell ref="D206:D209"/>
    <mergeCell ref="E206:E209"/>
    <mergeCell ref="F206:F209"/>
    <mergeCell ref="I206:I209"/>
    <mergeCell ref="E262:E265"/>
    <mergeCell ref="F262:F265"/>
    <mergeCell ref="A210:A213"/>
    <mergeCell ref="B210:B213"/>
    <mergeCell ref="C210:C213"/>
    <mergeCell ref="D210:D213"/>
    <mergeCell ref="E210:E213"/>
    <mergeCell ref="F210:F213"/>
    <mergeCell ref="A214:A217"/>
    <mergeCell ref="F214:F217"/>
    <mergeCell ref="I210:I213"/>
    <mergeCell ref="B262:B265"/>
    <mergeCell ref="C262:C265"/>
    <mergeCell ref="I214:I217"/>
    <mergeCell ref="E218:E221"/>
    <mergeCell ref="F218:F221"/>
    <mergeCell ref="I218:I221"/>
    <mergeCell ref="D226:D229"/>
    <mergeCell ref="B214:B217"/>
    <mergeCell ref="E214:E217"/>
    <mergeCell ref="C214:C217"/>
    <mergeCell ref="D214:D217"/>
    <mergeCell ref="F222:F225"/>
    <mergeCell ref="A226:A229"/>
    <mergeCell ref="A218:A221"/>
    <mergeCell ref="B218:B221"/>
    <mergeCell ref="C218:C221"/>
    <mergeCell ref="A222:A225"/>
    <mergeCell ref="B222:B225"/>
    <mergeCell ref="C222:C225"/>
    <mergeCell ref="D218:D221"/>
    <mergeCell ref="C230:C233"/>
    <mergeCell ref="D222:D225"/>
    <mergeCell ref="I222:I225"/>
    <mergeCell ref="I226:I229"/>
    <mergeCell ref="E230:E233"/>
    <mergeCell ref="F230:F233"/>
    <mergeCell ref="I230:I233"/>
    <mergeCell ref="E226:E229"/>
    <mergeCell ref="F226:F229"/>
    <mergeCell ref="E222:E225"/>
    <mergeCell ref="E234:E237"/>
    <mergeCell ref="D230:D233"/>
    <mergeCell ref="C226:C229"/>
    <mergeCell ref="B226:B229"/>
    <mergeCell ref="A230:A233"/>
    <mergeCell ref="B230:B233"/>
    <mergeCell ref="E246:E249"/>
    <mergeCell ref="A246:A249"/>
    <mergeCell ref="A234:A237"/>
    <mergeCell ref="B234:B237"/>
    <mergeCell ref="C234:C237"/>
    <mergeCell ref="D234:D237"/>
    <mergeCell ref="I242:I245"/>
    <mergeCell ref="F234:F237"/>
    <mergeCell ref="C242:C245"/>
    <mergeCell ref="D242:D245"/>
    <mergeCell ref="E242:E245"/>
    <mergeCell ref="F242:F245"/>
    <mergeCell ref="I234:I237"/>
    <mergeCell ref="F238:F241"/>
    <mergeCell ref="I238:I241"/>
    <mergeCell ref="F246:F249"/>
    <mergeCell ref="A238:A241"/>
    <mergeCell ref="B238:B241"/>
    <mergeCell ref="C238:C241"/>
    <mergeCell ref="D238:D241"/>
    <mergeCell ref="E238:E241"/>
    <mergeCell ref="B246:B249"/>
    <mergeCell ref="C246:C249"/>
    <mergeCell ref="D246:D249"/>
    <mergeCell ref="A258:A265"/>
    <mergeCell ref="I246:I249"/>
    <mergeCell ref="A242:A245"/>
    <mergeCell ref="B242:B245"/>
    <mergeCell ref="A250:A253"/>
    <mergeCell ref="B250:B253"/>
    <mergeCell ref="C250:C253"/>
    <mergeCell ref="D250:D253"/>
    <mergeCell ref="E250:E253"/>
    <mergeCell ref="F250:F253"/>
    <mergeCell ref="E254:E257"/>
    <mergeCell ref="F254:F257"/>
    <mergeCell ref="F258:F261"/>
    <mergeCell ref="A254:A257"/>
    <mergeCell ref="B254:B257"/>
    <mergeCell ref="C254:C257"/>
    <mergeCell ref="D254:D257"/>
    <mergeCell ref="B258:B261"/>
    <mergeCell ref="C258:C261"/>
    <mergeCell ref="E258:E261"/>
    <mergeCell ref="A266:A269"/>
    <mergeCell ref="B266:B269"/>
    <mergeCell ref="C266:C269"/>
    <mergeCell ref="D266:D269"/>
    <mergeCell ref="A270:A273"/>
    <mergeCell ref="B270:B273"/>
    <mergeCell ref="C270:C273"/>
    <mergeCell ref="D270:D273"/>
    <mergeCell ref="E274:E277"/>
    <mergeCell ref="F274:F277"/>
    <mergeCell ref="I274:I277"/>
    <mergeCell ref="E266:E269"/>
    <mergeCell ref="F266:F269"/>
    <mergeCell ref="I266:I269"/>
    <mergeCell ref="E270:E273"/>
    <mergeCell ref="F270:F273"/>
    <mergeCell ref="I270:I273"/>
    <mergeCell ref="A274:A277"/>
    <mergeCell ref="B274:B277"/>
    <mergeCell ref="C274:C277"/>
    <mergeCell ref="D274:D277"/>
    <mergeCell ref="A278:A281"/>
    <mergeCell ref="B278:B281"/>
    <mergeCell ref="C278:C281"/>
    <mergeCell ref="D278:D281"/>
    <mergeCell ref="A282:A285"/>
    <mergeCell ref="B282:B285"/>
    <mergeCell ref="C282:C285"/>
    <mergeCell ref="D282:D285"/>
    <mergeCell ref="A290:A293"/>
    <mergeCell ref="B290:B293"/>
    <mergeCell ref="C290:C293"/>
    <mergeCell ref="D290:D293"/>
    <mergeCell ref="E278:E281"/>
    <mergeCell ref="F278:F281"/>
    <mergeCell ref="I278:I281"/>
    <mergeCell ref="E282:E285"/>
    <mergeCell ref="F282:F285"/>
    <mergeCell ref="I282:I285"/>
    <mergeCell ref="E294:E297"/>
    <mergeCell ref="F294:F297"/>
    <mergeCell ref="I294:I297"/>
    <mergeCell ref="I290:I293"/>
    <mergeCell ref="E290:E293"/>
    <mergeCell ref="F290:F293"/>
    <mergeCell ref="A294:A297"/>
    <mergeCell ref="B294:B297"/>
    <mergeCell ref="C294:C297"/>
    <mergeCell ref="D294:D297"/>
    <mergeCell ref="I302:I305"/>
    <mergeCell ref="A298:A301"/>
    <mergeCell ref="B298:B301"/>
    <mergeCell ref="C298:C301"/>
    <mergeCell ref="D298:D301"/>
    <mergeCell ref="E298:E301"/>
    <mergeCell ref="F298:F301"/>
    <mergeCell ref="A302:A305"/>
    <mergeCell ref="B302:B305"/>
    <mergeCell ref="C302:C305"/>
    <mergeCell ref="D302:D305"/>
    <mergeCell ref="F314:F317"/>
    <mergeCell ref="F310:F313"/>
    <mergeCell ref="C314:C317"/>
    <mergeCell ref="D314:D317"/>
    <mergeCell ref="E314:E317"/>
    <mergeCell ref="E302:E305"/>
    <mergeCell ref="F302:F305"/>
    <mergeCell ref="I310:I313"/>
    <mergeCell ref="A306:A309"/>
    <mergeCell ref="B306:B309"/>
    <mergeCell ref="C306:C309"/>
    <mergeCell ref="D306:D309"/>
    <mergeCell ref="E306:E309"/>
    <mergeCell ref="F306:F309"/>
    <mergeCell ref="I306:I309"/>
    <mergeCell ref="D310:D313"/>
    <mergeCell ref="E310:E313"/>
    <mergeCell ref="A314:A317"/>
    <mergeCell ref="B314:B317"/>
    <mergeCell ref="B310:B313"/>
    <mergeCell ref="C310:C313"/>
    <mergeCell ref="A310:A313"/>
    <mergeCell ref="E322:E325"/>
    <mergeCell ref="F322:F325"/>
    <mergeCell ref="I314:I317"/>
    <mergeCell ref="A318:A321"/>
    <mergeCell ref="B318:B321"/>
    <mergeCell ref="C318:C321"/>
    <mergeCell ref="D318:D321"/>
    <mergeCell ref="E318:E321"/>
    <mergeCell ref="F318:F321"/>
    <mergeCell ref="I318:I321"/>
    <mergeCell ref="A322:A325"/>
    <mergeCell ref="B322:B325"/>
    <mergeCell ref="C322:C325"/>
    <mergeCell ref="D322:D325"/>
    <mergeCell ref="E330:E333"/>
    <mergeCell ref="F330:F333"/>
    <mergeCell ref="I330:I333"/>
    <mergeCell ref="A326:A329"/>
    <mergeCell ref="F326:F329"/>
    <mergeCell ref="B326:B329"/>
    <mergeCell ref="C326:C329"/>
    <mergeCell ref="D326:D329"/>
    <mergeCell ref="E326:E329"/>
    <mergeCell ref="A330:A333"/>
    <mergeCell ref="B330:B333"/>
    <mergeCell ref="C330:C333"/>
    <mergeCell ref="D330:D333"/>
    <mergeCell ref="D334:D337"/>
    <mergeCell ref="E334:E337"/>
    <mergeCell ref="B338:B341"/>
    <mergeCell ref="C338:C341"/>
    <mergeCell ref="D338:D341"/>
    <mergeCell ref="F334:F337"/>
    <mergeCell ref="A342:A345"/>
    <mergeCell ref="B342:B345"/>
    <mergeCell ref="C342:C345"/>
    <mergeCell ref="D342:D345"/>
    <mergeCell ref="A338:A341"/>
    <mergeCell ref="F338:F341"/>
    <mergeCell ref="A334:A337"/>
    <mergeCell ref="B334:B337"/>
    <mergeCell ref="C334:C337"/>
    <mergeCell ref="E342:E345"/>
    <mergeCell ref="F342:F345"/>
    <mergeCell ref="I342:I345"/>
    <mergeCell ref="I338:I341"/>
    <mergeCell ref="E338:E341"/>
    <mergeCell ref="M5:O5"/>
    <mergeCell ref="M6:O6"/>
    <mergeCell ref="J4:O4"/>
    <mergeCell ref="I334:I337"/>
    <mergeCell ref="I326:I329"/>
    <mergeCell ref="I322:I325"/>
    <mergeCell ref="I298:I301"/>
    <mergeCell ref="I250:I253"/>
    <mergeCell ref="I254:I257"/>
    <mergeCell ref="I258:I261"/>
  </mergeCells>
  <printOptions/>
  <pageMargins left="0.75" right="0.75" top="1" bottom="1" header="0.5" footer="0.5"/>
  <pageSetup horizontalDpi="600" verticalDpi="600" orientation="landscape" paperSize="9" scale="74" r:id="rId3"/>
  <rowBreaks count="11" manualBreakCount="11">
    <brk id="37" max="15" man="1"/>
    <brk id="69" max="15" man="1"/>
    <brk id="101" max="15" man="1"/>
    <brk id="133" max="15" man="1"/>
    <brk id="165" max="15" man="1"/>
    <brk id="193" max="15" man="1"/>
    <brk id="217" max="15" man="1"/>
    <brk id="241" max="15" man="1"/>
    <brk id="269" max="15" man="1"/>
    <brk id="297" max="15" man="1"/>
    <brk id="321" max="15" man="1"/>
  </rowBreaks>
  <colBreaks count="1" manualBreakCount="1">
    <brk id="15" max="34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 </cp:lastModifiedBy>
  <cp:lastPrinted>2009-02-11T09:17:19Z</cp:lastPrinted>
  <dcterms:created xsi:type="dcterms:W3CDTF">2009-01-30T11:24:23Z</dcterms:created>
  <dcterms:modified xsi:type="dcterms:W3CDTF">2009-02-11T09:17:51Z</dcterms:modified>
  <cp:category/>
  <cp:version/>
  <cp:contentType/>
  <cp:contentStatus/>
</cp:coreProperties>
</file>